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3380" windowHeight="7152" activeTab="0"/>
  </bookViews>
  <sheets>
    <sheet name="APCo STATEMENT AF" sheetId="1" r:id="rId1"/>
    <sheet name="APCo STATEMENT AG" sheetId="2" r:id="rId2"/>
    <sheet name="IM STATEMENT AF" sheetId="3" r:id="rId3"/>
    <sheet name="IM STATEMENT AG" sheetId="4" r:id="rId4"/>
    <sheet name="KgPCo STATEMENT AF" sheetId="5" r:id="rId5"/>
    <sheet name="KgPCo STATEMENT AG" sheetId="6" r:id="rId6"/>
    <sheet name="KPCo STATEMENT AF" sheetId="7" r:id="rId7"/>
    <sheet name="KPCo STATEMENT AG" sheetId="8" r:id="rId8"/>
    <sheet name="OPCo STATEMENT AF" sheetId="9" r:id="rId9"/>
    <sheet name="OPCo STATEMENT AG" sheetId="10" r:id="rId10"/>
    <sheet name="WPCo STATEMENT AF" sheetId="11" r:id="rId11"/>
    <sheet name="WPCo STATEMENT AG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HEADA" localSheetId="2">'IM STATEMENT AF'!$A$1:$S$14</definedName>
    <definedName name="HEADA" localSheetId="4">'KgPCo STATEMENT AF'!$A$1:$O$14</definedName>
    <definedName name="HEADA" localSheetId="6">'KPCo STATEMENT AF'!$A$1:$O$14</definedName>
    <definedName name="HEADA" localSheetId="8">'OPCo STATEMENT AF'!$A$1:$O$14</definedName>
    <definedName name="HEADA" localSheetId="10">'WPCo STATEMENT AF'!$A$1:$O$13</definedName>
    <definedName name="HEADA" localSheetId="11">#REF!</definedName>
    <definedName name="HEADA">'APCo STATEMENT AF'!$A$1:$O$14</definedName>
    <definedName name="HEADB" localSheetId="2">#REF!</definedName>
    <definedName name="HEADB" localSheetId="4">#REF!</definedName>
    <definedName name="HEADB" localSheetId="6">#REF!</definedName>
    <definedName name="HEADB" localSheetId="8">#REF!</definedName>
    <definedName name="HEADB" localSheetId="10">#REF!</definedName>
    <definedName name="HEADB" localSheetId="11">'WPCo STATEMENT AG'!$A$1:$O$14</definedName>
    <definedName name="HEADB">#REF!</definedName>
    <definedName name="HEADC" localSheetId="2">#REF!</definedName>
    <definedName name="HEADC" localSheetId="4">#REF!</definedName>
    <definedName name="HEADC" localSheetId="6">#REF!</definedName>
    <definedName name="HEADC" localSheetId="8">#REF!</definedName>
    <definedName name="HEADC" localSheetId="10">#REF!</definedName>
    <definedName name="HEADC" localSheetId="11">#REF!</definedName>
    <definedName name="HEADC">#REF!</definedName>
    <definedName name="HEADD" localSheetId="2">#REF!</definedName>
    <definedName name="HEADD" localSheetId="4">#REF!</definedName>
    <definedName name="HEADD" localSheetId="6">#REF!</definedName>
    <definedName name="HEADD" localSheetId="8">#REF!</definedName>
    <definedName name="HEADD" localSheetId="10">#REF!</definedName>
    <definedName name="HEADD" localSheetId="11">#REF!</definedName>
    <definedName name="HEADD">#REF!</definedName>
    <definedName name="PAGEA" localSheetId="2">'IM STATEMENT AF'!$A$15:$S$219</definedName>
    <definedName name="PAGEA" localSheetId="4">'KgPCo STATEMENT AF'!$A$15:$O$79</definedName>
    <definedName name="PAGEA" localSheetId="6">'KPCo STATEMENT AF'!$A$15:$O$136</definedName>
    <definedName name="PAGEA" localSheetId="8">'OPCo STATEMENT AF'!$A$15:$O$174</definedName>
    <definedName name="PAGEA" localSheetId="10">'WPCo STATEMENT AF'!$A$14:$O$93</definedName>
    <definedName name="PAGEA" localSheetId="11">#REF!</definedName>
    <definedName name="PAGEA">'APCo STATEMENT AF'!$A$15:$O$183</definedName>
    <definedName name="PAGEB" localSheetId="2">#REF!</definedName>
    <definedName name="PAGEB" localSheetId="4">#REF!</definedName>
    <definedName name="PAGEB" localSheetId="6">#REF!</definedName>
    <definedName name="PAGEB" localSheetId="8">#REF!</definedName>
    <definedName name="PAGEB" localSheetId="10">#REF!</definedName>
    <definedName name="PAGEB" localSheetId="11">'WPCo STATEMENT AG'!$A$15:$O$62</definedName>
    <definedName name="PAGEB">#REF!</definedName>
    <definedName name="PAGEC" localSheetId="2">#REF!</definedName>
    <definedName name="PAGEC" localSheetId="4">#REF!</definedName>
    <definedName name="PAGEC" localSheetId="6">#REF!</definedName>
    <definedName name="PAGEC" localSheetId="8">#REF!</definedName>
    <definedName name="PAGEC" localSheetId="10">#REF!</definedName>
    <definedName name="PAGEC" localSheetId="11">#REF!</definedName>
    <definedName name="PAGEC">#REF!</definedName>
    <definedName name="PAGED" localSheetId="2">#REF!</definedName>
    <definedName name="PAGED" localSheetId="4">#REF!</definedName>
    <definedName name="PAGED" localSheetId="6">#REF!</definedName>
    <definedName name="PAGED" localSheetId="8">#REF!</definedName>
    <definedName name="PAGED" localSheetId="10">#REF!</definedName>
    <definedName name="PAGED" localSheetId="11">#REF!</definedName>
    <definedName name="PAGED">#REF!</definedName>
    <definedName name="_xlnm.Print_Area" localSheetId="0">'APCo STATEMENT AF'!$B$15:$S$183</definedName>
    <definedName name="_xlnm.Print_Area" localSheetId="1">'APCo STATEMENT AG'!$A$15:$S$109</definedName>
    <definedName name="_xlnm.Print_Area" localSheetId="2">'IM STATEMENT AF'!$C$15:$Y$219</definedName>
    <definedName name="_xlnm.Print_Area" localSheetId="3">'IM STATEMENT AG'!$C$15:$Y$130</definedName>
    <definedName name="_xlnm.Print_Area" localSheetId="4">'KgPCo STATEMENT AF'!$B$15:$S$79</definedName>
    <definedName name="_xlnm.Print_Area" localSheetId="5">'KgPCo STATEMENT AG'!$A$15:$S$51</definedName>
    <definedName name="_xlnm.Print_Area" localSheetId="6">'KPCo STATEMENT AF'!$A$1:$S$137</definedName>
    <definedName name="_xlnm.Print_Area" localSheetId="7">'KPCo STATEMENT AG'!$A$15:$S$88</definedName>
    <definedName name="_xlnm.Print_Area" localSheetId="8">'OPCo STATEMENT AF'!$C$15:$S$174</definedName>
    <definedName name="_xlnm.Print_Area" localSheetId="9">'OPCo STATEMENT AG'!$A$1:$S$123</definedName>
    <definedName name="_xlnm.Print_Area" localSheetId="10">'WPCo STATEMENT AF'!$B$14:$S$101</definedName>
    <definedName name="_xlnm.Print_Area" localSheetId="11">'WPCo STATEMENT AG'!$C$15:$S$62</definedName>
    <definedName name="_xlnm.Print_Titles" localSheetId="0">'APCo STATEMENT AF'!$A:$B,'APCo STATEMENT AF'!$1:$14</definedName>
    <definedName name="_xlnm.Print_Titles" localSheetId="1">'APCo STATEMENT AG'!$A:$B,'APCo STATEMENT AG'!$1:$13</definedName>
    <definedName name="_xlnm.Print_Titles" localSheetId="2">'IM STATEMENT AF'!$A:$B,'IM STATEMENT AF'!$1:$14</definedName>
    <definedName name="_xlnm.Print_Titles" localSheetId="3">'IM STATEMENT AG'!$A:$B,'IM STATEMENT AG'!$1:$13</definedName>
    <definedName name="_xlnm.Print_Titles" localSheetId="4">'KgPCo STATEMENT AF'!$A:$B,'KgPCo STATEMENT AF'!$1:$14</definedName>
    <definedName name="_xlnm.Print_Titles" localSheetId="5">'KgPCo STATEMENT AG'!$A:$B,'KgPCo STATEMENT AG'!$1:$13</definedName>
    <definedName name="_xlnm.Print_Titles" localSheetId="6">'KPCo STATEMENT AF'!$A:$B,'KPCo STATEMENT AF'!$1:$14</definedName>
    <definedName name="_xlnm.Print_Titles" localSheetId="7">'KPCo STATEMENT AG'!$A:$B,'KPCo STATEMENT AG'!$1:$13</definedName>
    <definedName name="_xlnm.Print_Titles" localSheetId="8">'OPCo STATEMENT AF'!$A:$B,'OPCo STATEMENT AF'!$1:$14</definedName>
    <definedName name="_xlnm.Print_Titles" localSheetId="9">'OPCo STATEMENT AG'!$A:$B,'OPCo STATEMENT AG'!$1:$13</definedName>
    <definedName name="_xlnm.Print_Titles" localSheetId="10">'WPCo STATEMENT AF'!$A:$B,'WPCo STATEMENT AF'!$1:$13</definedName>
    <definedName name="_xlnm.Print_Titles" localSheetId="11">'WPCo STATEMENT AG'!$A:$B,'WPCo STATEMENT AG'!$1:$14</definedName>
  </definedNames>
  <calcPr fullCalcOnLoad="1"/>
</workbook>
</file>

<file path=xl/comments1.xml><?xml version="1.0" encoding="utf-8"?>
<comments xmlns="http://schemas.openxmlformats.org/spreadsheetml/2006/main">
  <authors>
    <author>Tom Syner</author>
  </authors>
  <commentList>
    <comment ref="C167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"2833002%"</t>
        </r>
      </text>
    </comment>
    <comment ref="M166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"2831%02%"</t>
        </r>
      </text>
    </comment>
  </commentList>
</comments>
</file>

<file path=xl/comments11.xml><?xml version="1.0" encoding="utf-8"?>
<comments xmlns="http://schemas.openxmlformats.org/spreadsheetml/2006/main">
  <authors>
    <author>Tom Syner</author>
  </authors>
  <commentList>
    <comment ref="M51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Adjusted for late entry related to Deferred Fuel.</t>
        </r>
      </text>
    </comment>
    <comment ref="C75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Adjusted for late entry related to Deferred Fuel.</t>
        </r>
      </text>
    </comment>
    <comment ref="M81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"2831%02%"</t>
        </r>
      </text>
    </comment>
    <comment ref="C82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Adjusted for late entry related to Deferred Fuel.
Filter:  account like "2833002%"</t>
        </r>
      </text>
    </comment>
  </commentList>
</comments>
</file>

<file path=xl/comments12.xml><?xml version="1.0" encoding="utf-8"?>
<comments xmlns="http://schemas.openxmlformats.org/spreadsheetml/2006/main">
  <authors>
    <author>Tom Syner</author>
  </authors>
  <commentList>
    <comment ref="C57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Adjusted for late entry related to Deferred Fuel.</t>
        </r>
      </text>
    </comment>
  </commentList>
</comments>
</file>

<file path=xl/comments2.xml><?xml version="1.0" encoding="utf-8"?>
<comments xmlns="http://schemas.openxmlformats.org/spreadsheetml/2006/main">
  <authors>
    <author>Mike Kelly</author>
  </authors>
  <commentList>
    <comment ref="Q17" authorId="0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</t>
        </r>
      </text>
    </comment>
  </commentList>
</comments>
</file>

<file path=xl/comments3.xml><?xml version="1.0" encoding="utf-8"?>
<comments xmlns="http://schemas.openxmlformats.org/spreadsheetml/2006/main">
  <authors>
    <author>Tom Syner</author>
  </authors>
  <commentList>
    <comment ref="O201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"2831%02%"</t>
        </r>
      </text>
    </comment>
    <comment ref="C202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"2833002%"</t>
        </r>
      </text>
    </comment>
  </commentList>
</comments>
</file>

<file path=xl/comments5.xml><?xml version="1.0" encoding="utf-8"?>
<comments xmlns="http://schemas.openxmlformats.org/spreadsheetml/2006/main">
  <authors>
    <author>Tom Syner</author>
  </authors>
  <commentList>
    <comment ref="C64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"2833002%"</t>
        </r>
      </text>
    </comment>
  </commentList>
</comments>
</file>

<file path=xl/comments7.xml><?xml version="1.0" encoding="utf-8"?>
<comments xmlns="http://schemas.openxmlformats.org/spreadsheetml/2006/main">
  <authors>
    <author>Tom Syner</author>
  </authors>
  <commentList>
    <comment ref="M118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"2831%02%"</t>
        </r>
      </text>
    </comment>
    <comment ref="C119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"2833002%"</t>
        </r>
      </text>
    </comment>
  </commentList>
</comments>
</file>

<file path=xl/comments9.xml><?xml version="1.0" encoding="utf-8"?>
<comments xmlns="http://schemas.openxmlformats.org/spreadsheetml/2006/main">
  <authors>
    <author>Tom Syner</author>
  </authors>
  <commentList>
    <comment ref="M153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"2831%02%"</t>
        </r>
      </text>
    </comment>
    <comment ref="C154" authorId="0">
      <text>
        <r>
          <rPr>
            <b/>
            <sz val="9"/>
            <rFont val="Tahoma"/>
            <family val="2"/>
          </rPr>
          <t>Tom Syner:</t>
        </r>
        <r>
          <rPr>
            <sz val="9"/>
            <rFont val="Tahoma"/>
            <family val="2"/>
          </rPr>
          <t xml:space="preserve">
Filter:  account like "2833002%"</t>
        </r>
      </text>
    </comment>
  </commentList>
</comments>
</file>

<file path=xl/sharedStrings.xml><?xml version="1.0" encoding="utf-8"?>
<sst xmlns="http://schemas.openxmlformats.org/spreadsheetml/2006/main" count="1705" uniqueCount="636">
  <si>
    <t>TOTAL ACCOUNT 255</t>
  </si>
  <si>
    <t xml:space="preserve">HYDRO CREDIT - ITC - 46F1 </t>
  </si>
  <si>
    <t>SEC ALLOC - ITC - 46F1 - 10%</t>
  </si>
  <si>
    <t xml:space="preserve">             INV TAX CRED. (JDITC) IN A/C 255</t>
  </si>
  <si>
    <t>NOTE:  POST 1970 ACCUMULATED DEFERRED</t>
  </si>
  <si>
    <t>REFUNCTIONALIZED BASED ON JURISDICTIONAL PLANT</t>
  </si>
  <si>
    <t>TOTAL COMPANY AMOUNTS FUNCTIONALIZED</t>
  </si>
  <si>
    <t>JURISDICTIONAL AMOUNTS FUNCTIONALIZED</t>
  </si>
  <si>
    <t>TOTAL ACCOUNT 283</t>
  </si>
  <si>
    <t>SFAS 109 - DEFD STATE INCOME TAXES</t>
  </si>
  <si>
    <t>DEFD STATE INCOME TAXES</t>
  </si>
  <si>
    <t>SFAS 133 ADIT FED - SFAS 133 NONAFFIL 2830006</t>
  </si>
  <si>
    <t>ADIT FED - HEDGE-FOREIGN EXC 2830016</t>
  </si>
  <si>
    <t>ADIT FED - HEDGE-INTEREST RATE 2830015</t>
  </si>
  <si>
    <t>SFAS 109 EXCESS DFIT 283.4</t>
  </si>
  <si>
    <t>SFAS 109 FLOW-THRU 283.3</t>
  </si>
  <si>
    <t xml:space="preserve">NON-UTILITY DEFERRED FIT </t>
  </si>
  <si>
    <t>STATE NOL CURRENT BENEFIT</t>
  </si>
  <si>
    <t>REG ASSET - ACCRUED SFAS 112</t>
  </si>
  <si>
    <t>SFAS 106-MEDICARE SUBSIDY-(PPACA)-REG ASSET</t>
  </si>
  <si>
    <t>DEFD SFAS 106 BOOK COSTS</t>
  </si>
  <si>
    <t>LOSS ON REACQUIRED DEBT</t>
  </si>
  <si>
    <t>CAPITALIZED SOFTWARE COST - BOOK</t>
  </si>
  <si>
    <t>BOOK LEASES CAPITALIZED FOR TAX</t>
  </si>
  <si>
    <t>REG ASSET-VA EE-RAC EQUITY MARGIN</t>
  </si>
  <si>
    <t xml:space="preserve">REG ASSET-VA EE-RAC MOBILE HOME ES </t>
  </si>
  <si>
    <t xml:space="preserve">REG ASSET-VA EE-RAC C&amp;I PRESCRIPTIVE </t>
  </si>
  <si>
    <t>REG ASSET-VA EE-RAC APPLIANCE RECYCLING</t>
  </si>
  <si>
    <t>REG ASSET-VA EE-RAC HOME ENERGY PROG</t>
  </si>
  <si>
    <t>REG ASSET-VA EE-RAC EFFICIENT PRODUCTS</t>
  </si>
  <si>
    <t>REG ASSET-CAR CHGS-WV VMP RESERVE</t>
  </si>
  <si>
    <t>REG ASSET-COAL CO UNCOLL ACCTS</t>
  </si>
  <si>
    <t>REG ASSET-EXTRA LOSS-GLEN LYN U6 NET PLANT</t>
  </si>
  <si>
    <t>REG ASSET-EXTRA LOSS-KANAWHA RIVER PLANT</t>
  </si>
  <si>
    <t>REG ASSET-EXTRA LOSS-SPORN PLANT</t>
  </si>
  <si>
    <t>REG ASSET-EXTRA LOSS-GLEN LYN U5 NET PLANT</t>
  </si>
  <si>
    <t>REG ASSET-EXTRA LOSS-CLINCH RIVER PLANT</t>
  </si>
  <si>
    <t>REG ASSET-NBV-ARO-RETIRED PLANTS</t>
  </si>
  <si>
    <t>REG ASSET-WV AIR QUALITY PERMIT FEES</t>
  </si>
  <si>
    <t>REG ASSET-FELMAN PREM/DISC-ENEC-WV</t>
  </si>
  <si>
    <t>REG ASSET-IGCC PRE-CONSTRUCTION COSTS</t>
  </si>
  <si>
    <t>REG ASSET-CARRYING CHARGES WV-AMOS 3</t>
  </si>
  <si>
    <t>REG ASSET-UNREC EQUITY CC WV-AMOS 3</t>
  </si>
  <si>
    <t>REG ASSET-WW CC CONSTR SURCHRG</t>
  </si>
  <si>
    <t>REG ASSET-WW CONSTR SURCHRG OPER COSTS</t>
  </si>
  <si>
    <t>REG ASSET-WW CC-CONSTR SURCHARG UNRECOG EQ</t>
  </si>
  <si>
    <t>REG ASSET-CARRYING CHARGES-WV VMP</t>
  </si>
  <si>
    <t>REG ASSET-WV VMP (VEGETATION MGMT) COSTS</t>
  </si>
  <si>
    <t>REG ASSET-DEFD VA SOFTWARE LICENSING EXPENSE</t>
  </si>
  <si>
    <t>REG ASSET-DEFERRED VA WIND NON-INCREM COSTS</t>
  </si>
  <si>
    <t>REG ASSET-DEFERRED VA RPS INCREM COSTS-CURRENT</t>
  </si>
  <si>
    <t>REG ASSET DRESDEN OPERATING COSTS WV</t>
  </si>
  <si>
    <t>REG ASSET DRESDEN CARRYING COST WV</t>
  </si>
  <si>
    <t>REG ASSET DRESDEN UNRECOG EQUITY CC VA</t>
  </si>
  <si>
    <t>REG ASSET DRESDEN CARRYING COSTS VA</t>
  </si>
  <si>
    <t>REG ASSET DRESDEN OPERATION COST VA</t>
  </si>
  <si>
    <t>REG ASSET DRESDEN UNRECOG EQUITY CC WV</t>
  </si>
  <si>
    <t>REG ASSET-DEFD VA DEMAND RESPONSE PROGRAM</t>
  </si>
  <si>
    <t>REG ASSET-NET CCS FEED STUDY COSTS</t>
  </si>
  <si>
    <t>REG ASSET-DEFD VA WIND REPLACEMENT CSTS</t>
  </si>
  <si>
    <t>REG ASSET-TRANS AGREEMENT PHASE-IN-WV</t>
  </si>
  <si>
    <t>REG ASSET-DEFD SEVERANCE COSTS</t>
  </si>
  <si>
    <t>TAX DEFL - NON-DEPRECIABLES</t>
  </si>
  <si>
    <t>REG ASSET-CARRYING CHARGES-WV ENEC</t>
  </si>
  <si>
    <t>REG ASSET-DEFERRED RPS COSTS</t>
  </si>
  <si>
    <t>REG ASSET-MOUNTAINEER CARBON CAPTURE</t>
  </si>
  <si>
    <t>REG ASSET-UNDERRECOVERY-VIRGINIA T-RAC</t>
  </si>
  <si>
    <t>REG ASSET-SFAS 158 - OPEB</t>
  </si>
  <si>
    <t>REG ASSET-SFAS 158 - SERP</t>
  </si>
  <si>
    <t>REG ASSET-SFAS 158 - PENSIONS</t>
  </si>
  <si>
    <t>REG ASSET-SFAS 143 - ARO</t>
  </si>
  <si>
    <t>TRANSITION REGULATORY ASSETS</t>
  </si>
  <si>
    <t>BK DEFL - MACSS COSTS</t>
  </si>
  <si>
    <t>DEFD BOOK GAIN - EPA AUCTION</t>
  </si>
  <si>
    <t>DEFD TAX GAIN - EPA AUCTION</t>
  </si>
  <si>
    <t>DEFD TX GAIN - INTERCO SALE - EMA</t>
  </si>
  <si>
    <t>BOOK &gt; TAX - EMA - A/C 283</t>
  </si>
  <si>
    <t>DEFD BK LOSS-NON AFF SALE-EMA</t>
  </si>
  <si>
    <t>BK DEFL-DEMAND SIDE MNGMT EXP</t>
  </si>
  <si>
    <t>RATE CASE DEFERRED CHARGES</t>
  </si>
  <si>
    <t>DEFD STORM DAMAGE</t>
  </si>
  <si>
    <t>DEFD EXPS (A/C 186)</t>
  </si>
  <si>
    <t>DEFD EQUITY CARRY CHRGS-RELIABILITY CAPITAL</t>
  </si>
  <si>
    <t>DEFD SYS RELIABILITY COSTS &amp; CARRYING CHARGES</t>
  </si>
  <si>
    <t>DEFD ENVIRON COMP COSTS &amp; CARRYING CHARGES</t>
  </si>
  <si>
    <t>REG ASSET - DEFERRED RTO COSTS</t>
  </si>
  <si>
    <t>ACCRUED BK PENSION COSTS - SFAS 158</t>
  </si>
  <si>
    <t>ACCRUED BK PENSION EXPENSE</t>
  </si>
  <si>
    <t>MARK &amp; SPREAD - DEFL - 283 A/L</t>
  </si>
  <si>
    <t>MTM BK GAIN - A/L - TAX DEFL</t>
  </si>
  <si>
    <t>DEFD TAX GAIN - APCO WV SEC REG ASSET</t>
  </si>
  <si>
    <t>PROP TX-STATE 2 OLD METHOD-TX</t>
  </si>
  <si>
    <t>PROPERTY TAX - NEW METHOD - BOOK</t>
  </si>
  <si>
    <t>WV UNREC FUEL DISPUTED COAL INV</t>
  </si>
  <si>
    <t>WV CENTURY ENEC UNDER RECOVERY</t>
  </si>
  <si>
    <t>WV UNRECOV FUEL POOL CAPACITY IMPACT</t>
  </si>
  <si>
    <t>DEFD EQUITY CARRY CHGS - WV-ENEC</t>
  </si>
  <si>
    <t>WV -ENEC UNDER RECOVERY BANK</t>
  </si>
  <si>
    <t>SV - UNDER RECOVERY FUEL COST</t>
  </si>
  <si>
    <t>SW - UNDER RECOVERY FUEL COST</t>
  </si>
  <si>
    <t>NOL - STATE C/F - DEF STATE TAX ASSET - L/T</t>
  </si>
  <si>
    <t xml:space="preserve"> </t>
  </si>
  <si>
    <t>ACCOUNT 283:</t>
  </si>
  <si>
    <t>TOTAL ACOUNT 282</t>
  </si>
  <si>
    <t>SFAS 109 EXCESS DFIT 282.4</t>
  </si>
  <si>
    <t>SFAS 109 FLOW-THRU 282.3</t>
  </si>
  <si>
    <t>2007 IRS AUDIT ADJUSTMENTS - A/C 282</t>
  </si>
  <si>
    <t>BK DEPLETION -- NUEAST</t>
  </si>
  <si>
    <t>TAX WRITE OFF MINE DEVEL COSTS</t>
  </si>
  <si>
    <t>REMOVAL COSTS REV - SFAS 143 - ARO</t>
  </si>
  <si>
    <t>REMOVAL COSTS - ARO-MTNR CARBON CAPTURE</t>
  </si>
  <si>
    <t>REMOVAL COSTS</t>
  </si>
  <si>
    <t>GAIN ON REACQUIRED DEBT</t>
  </si>
  <si>
    <t>CAPITALIZED LEASES - A/C 1011 ASSETS</t>
  </si>
  <si>
    <t>AMORT PERPETUAL TERM ELECT PLT</t>
  </si>
  <si>
    <t>DISALLOWED COSTS-RESERVE DEFICIENCY-APCO VA</t>
  </si>
  <si>
    <t>DEFD TAX GAIN - FIBER OPTIC LINE</t>
  </si>
  <si>
    <t>EXTRAORDINARY LOSS ON DISP OF PROP</t>
  </si>
  <si>
    <t>CAPITALIZED RELOCATION COSTS</t>
  </si>
  <si>
    <t>BK/TAX UNIT OF PROPERTY ADJ-SEC 481 ADJ</t>
  </si>
  <si>
    <t>BOOK/TAX UNIT OF PROPERTY ADJ</t>
  </si>
  <si>
    <t>PERCENT REPAIR ALLOWANCE</t>
  </si>
  <si>
    <t>SAVINGS PLAN CAPITALIZED</t>
  </si>
  <si>
    <t>SEC 481 PENS/OPEB ADJUSTMENT</t>
  </si>
  <si>
    <t>PENSIONS CAPITALIZED</t>
  </si>
  <si>
    <t>TAXES CAPITALIZED</t>
  </si>
  <si>
    <t>ABFUDC - DISTRIBUTION</t>
  </si>
  <si>
    <t>ABFUDC - GENERAL</t>
  </si>
  <si>
    <t>ABFUDC - TRANSMISSION</t>
  </si>
  <si>
    <t>ABFUDC</t>
  </si>
  <si>
    <t>GAIN/LOSS ON ACRS/MACRS-BK/TX UNIT PROP</t>
  </si>
  <si>
    <t>GAIN/LOSS ON ACRS/MACRS PROPERTY</t>
  </si>
  <si>
    <t>DFIT GENERATION PLANT</t>
  </si>
  <si>
    <t>MNTR CARBON CAPTURE - SFAS 143 - ARO</t>
  </si>
  <si>
    <t>BK PLANT IN SERVICE-SFAS 143-ARO</t>
  </si>
  <si>
    <t>R &amp; D DEDUCTION - SECTION 174</t>
  </si>
  <si>
    <t>PJM INTEGRATION - SEC 481(a) - INTANG - DFD LABOR</t>
  </si>
  <si>
    <t>RELOCATION COST - SECTION 481(a) - CHANGE IN METH</t>
  </si>
  <si>
    <t>CAPD INTEREST - SECTION 481(a) - CHANGE IN METHD</t>
  </si>
  <si>
    <t>FERC ORDER 144 CATCH UP</t>
  </si>
  <si>
    <t>BOOK VS. TAX DEPRECIATION</t>
  </si>
  <si>
    <t>ACCOUNT 282:</t>
  </si>
  <si>
    <t>TOTAL ACCOUNT 281</t>
  </si>
  <si>
    <t>SFAS 109 EXCESS DFIT 281.4</t>
  </si>
  <si>
    <t>SFAS 109 FLOW-THRU 281.3</t>
  </si>
  <si>
    <t>TX AMORT POLLUTION CONT EQPT</t>
  </si>
  <si>
    <t>ACCOUNT 281:</t>
  </si>
  <si>
    <t>DISTRIBUTION</t>
  </si>
  <si>
    <t>TRANSMISSION</t>
  </si>
  <si>
    <t>GENERATION</t>
  </si>
  <si>
    <t>(B+C+D+E)/2</t>
  </si>
  <si>
    <t>OF 12-31-14</t>
  </si>
  <si>
    <t>OF 12-31-15</t>
  </si>
  <si>
    <t>ACCUMULATED DEFERRED FIT ITEMS</t>
  </si>
  <si>
    <t>UTILITY</t>
  </si>
  <si>
    <t>BALANCE AS</t>
  </si>
  <si>
    <t xml:space="preserve">ELECTRIC </t>
  </si>
  <si>
    <t>FUNCTIONALIZATION 12/31/14</t>
  </si>
  <si>
    <t>FUNCTIONALIZATION 12/31/15</t>
  </si>
  <si>
    <t>FUNCTIONALIZATION AVERAGE</t>
  </si>
  <si>
    <t>AVERAGE</t>
  </si>
  <si>
    <t>NON-APPLICABLE/NON-UTILITY</t>
  </si>
  <si>
    <t>PER BOOKS</t>
  </si>
  <si>
    <t>COLUMN O</t>
  </si>
  <si>
    <t>COLUMN N</t>
  </si>
  <si>
    <t>COLUMN M</t>
  </si>
  <si>
    <t>COLUMN L</t>
  </si>
  <si>
    <t>COLUMN K</t>
  </si>
  <si>
    <t>COLUMN J</t>
  </si>
  <si>
    <t>COLUMN I</t>
  </si>
  <si>
    <t>COLUMN H</t>
  </si>
  <si>
    <t>COLUMN G</t>
  </si>
  <si>
    <t>COLUMN F</t>
  </si>
  <si>
    <t>COLUMN E</t>
  </si>
  <si>
    <t>COLUMN D</t>
  </si>
  <si>
    <t>COLUMN C</t>
  </si>
  <si>
    <t>COLUMN B</t>
  </si>
  <si>
    <t>COLUMN A</t>
  </si>
  <si>
    <t>(DEBIT)  CREDIT</t>
  </si>
  <si>
    <t>PERIOD ENDED DECEMBER 31, 2015</t>
  </si>
  <si>
    <t>SPECIFIED DEFERRED CREDITS</t>
  </si>
  <si>
    <t>APPALACHIAN POWER COMPANY</t>
  </si>
  <si>
    <t>ACCUMULATED DEFERRED INCOME TAX IN ACCOUNT 190</t>
  </si>
  <si>
    <t>DEBIT  (CREDIT)</t>
  </si>
  <si>
    <t>ACCOUNT 190:</t>
  </si>
  <si>
    <t>NOL &amp; TAX CREDIT C/F - DEF TAX ASSET</t>
  </si>
  <si>
    <t>INT EXP CAPITALIZED FOR TAX</t>
  </si>
  <si>
    <t xml:space="preserve">CIAC-BOOK RECEIPTS </t>
  </si>
  <si>
    <t>CIAC - BOOK RECEIPTS-DISTR -SV</t>
  </si>
  <si>
    <t>CIAC - BOOK RECEIPTS-TRANS</t>
  </si>
  <si>
    <t>CIAC - BOOK RECEIPTS-DISTR -SW</t>
  </si>
  <si>
    <t>CIAC - MUSSER ACQUISITION</t>
  </si>
  <si>
    <t>SW - OVER RECOVERY FUEL COSTS</t>
  </si>
  <si>
    <t>SV - OVER RECOVERY FUEL COSTS</t>
  </si>
  <si>
    <t>PROVS POSS REV REFDS</t>
  </si>
  <si>
    <t>SALE/LEASEBK-GRUNDY</t>
  </si>
  <si>
    <t>MTM BK LOSS - A/L - TAX DEFL</t>
  </si>
  <si>
    <t>MARK &amp; SPREAD-DEFL-190-A/L</t>
  </si>
  <si>
    <t>PROV WORKER'S COMP</t>
  </si>
  <si>
    <t>SUPPLEMENTAL EXECUTIVE RETIREMENT PLAN</t>
  </si>
  <si>
    <t>ACCRD SUP EXEC RETIR PLAN COSTS-SFAS 158</t>
  </si>
  <si>
    <t>ACCRD BK SUP. SAVINGS PLAN EXP</t>
  </si>
  <si>
    <t>EMPLOYER SAVINGS PLAN MATCH</t>
  </si>
  <si>
    <t>ACCRUED PSI PLAN EXP</t>
  </si>
  <si>
    <t>BK PROV UNCOLL ACCTS</t>
  </si>
  <si>
    <t>PROV-TRADING CREDIT RISK - A/L</t>
  </si>
  <si>
    <t>PROV-FAS 157 - A/L</t>
  </si>
  <si>
    <t>ACCRD COMPANY INCENT PLAN-ENGAGE TO GAIN</t>
  </si>
  <si>
    <t>ACCRD COMPANYWIDE INCENTV PLAN</t>
  </si>
  <si>
    <t>ACCRD ENVIRONMENTAL LIAB-CURRENT</t>
  </si>
  <si>
    <t>ACCRUED BOOK VACATION PAY</t>
  </si>
  <si>
    <t>(ICDP)-INCENTIVE COMP DEFERRAL PLAN</t>
  </si>
  <si>
    <t>ACCRUED BK SEVERANCE BENEFITS</t>
  </si>
  <si>
    <t>ACCRUED INTEREST EXPENSE - STATE</t>
  </si>
  <si>
    <t>ACCRUED INTEREST-LONG-TERM - FIN 48</t>
  </si>
  <si>
    <t>ACCRUED INTEREST-SHORT-TERM - FIN 48</t>
  </si>
  <si>
    <t>ACCRUED STATE INCOME TAX EXP</t>
  </si>
  <si>
    <t>BK DFL RAIL TRANS REV/EXP</t>
  </si>
  <si>
    <t>ACCRUED RTO CARRYING CHARGES</t>
  </si>
  <si>
    <t>PROV LOSS-CAR CHG-PURCHASD EMA</t>
  </si>
  <si>
    <t>DEFD EQUITY CARRYING CHRGS-ENVIRON COMP COSTS</t>
  </si>
  <si>
    <t>FEDERAL MITIGATION PROGRAMS</t>
  </si>
  <si>
    <t xml:space="preserve">STATE MITIGATION PROGRAMS </t>
  </si>
  <si>
    <t>DEFD REV-EPRI/MNTR CARBON CAPTURE-CUR</t>
  </si>
  <si>
    <t>DEFD REV-EPRI/MNTR CARBON CAPTURE-L/T</t>
  </si>
  <si>
    <t>DEFD BK CONTRACT REVENUE</t>
  </si>
  <si>
    <t>DEFD STORM DAMAGES</t>
  </si>
  <si>
    <t>FK BK WRITE-OFF BLUE RDGE EASE</t>
  </si>
  <si>
    <t>FR BK WRITE-OFF BLUE RDGE EASE</t>
  </si>
  <si>
    <t>SV BK WRITE-OFF BLUE RDGE EASE</t>
  </si>
  <si>
    <t>CV BK WRITE-OFF BLUE RDGE EASE</t>
  </si>
  <si>
    <t>TAX &gt; BOOK BASIS - EMA-A/C 190</t>
  </si>
  <si>
    <t>DEFD TX LOSS-INTERCO SALE-EMA</t>
  </si>
  <si>
    <t>DEFD BOOK GAIN-EPA AUCTION</t>
  </si>
  <si>
    <t>ADVANCE RENTAL INC (CUR MO)</t>
  </si>
  <si>
    <t>DEFERRED BOOK RENTS</t>
  </si>
  <si>
    <t>REG LIAB-UNREAL MTM GAIN-DEFL</t>
  </si>
  <si>
    <t>SECURITIZATION DEFD EQUITY INCOME - LONG-TERM</t>
  </si>
  <si>
    <t>CAPITALIZED SOFTWARE COSTS-TAX</t>
  </si>
  <si>
    <t>CAPITALIZED ADVERTISING EXP-TX</t>
  </si>
  <si>
    <t>ACCRD SFAS 106 PST RETIRE EXP</t>
  </si>
  <si>
    <t>SFAS 106 PST RETIRE EXP - NON-DEDUCT CONT</t>
  </si>
  <si>
    <t>ACCRD OPEB COSTS - SFAS 158</t>
  </si>
  <si>
    <t>ACCRD SFAS 112 PST EMPLOY BEN</t>
  </si>
  <si>
    <t>ACCRD BOOK ARO EXPENSE - SFAS 143</t>
  </si>
  <si>
    <t>ACCRD BK ARO EXP - MTNR CARBON CAPTURE</t>
  </si>
  <si>
    <t>SFAS 106 - MEDICARE SUBSIDY - NORM - (PPACA)</t>
  </si>
  <si>
    <t>GROSS RECEIPTS- TAX EXPENSE</t>
  </si>
  <si>
    <t>ACCRUED BK REMOVAL COST - ACRS</t>
  </si>
  <si>
    <t>FIN 48 - DEFD STATE INCOME TAXES</t>
  </si>
  <si>
    <t>ACCRD SIT/FRANCHISE TAX RESERVE</t>
  </si>
  <si>
    <t>ACCRUED SALES &amp; USE TAX RESERVE</t>
  </si>
  <si>
    <t>ACCRD SIT TX RESERVE-LNG-TERM-FIN 48</t>
  </si>
  <si>
    <t>ACCRD SIT TX RESERVE-SHRT-TERM-FIN 48</t>
  </si>
  <si>
    <t>SFAS 109 - DEFD SIT LIABILITY</t>
  </si>
  <si>
    <t>1985-1987 IRS AUDIT SETTLEMENT</t>
  </si>
  <si>
    <t>1991-1996 IRS AUDIT SETTLEMENT</t>
  </si>
  <si>
    <t>1997-2003 IRS AUDIT SETTLEMENT</t>
  </si>
  <si>
    <t>2007 IRS AUDIT ADJUSTMENTS - A/C 190</t>
  </si>
  <si>
    <t>IRS CAPITALIZATION ADJUSTMENT</t>
  </si>
  <si>
    <t>AMT CREDIT - DEFERRED</t>
  </si>
  <si>
    <t>REHAB CREDIT - DEFD TAX ASSET RECLASS</t>
  </si>
  <si>
    <t>SFAS 109 FLOW-THRU 190.3</t>
  </si>
  <si>
    <t>SFAS 109 EXCESS DFIT 190.4</t>
  </si>
  <si>
    <t>SFAS 133 ADIT FED - SFAS NONAFFIL 1900006</t>
  </si>
  <si>
    <t>ADIT FED - PENSION OCI NAF 1900009</t>
  </si>
  <si>
    <t>ADIT FED - PENSION OCI  1900010</t>
  </si>
  <si>
    <t>ADIT FED - NON-UMWA PRW OCI 1900011</t>
  </si>
  <si>
    <t>ADIT FED - UMWA PRW OCI 1900012</t>
  </si>
  <si>
    <t>ADIT FED - HEDGE-INTEREST RATE 1900015</t>
  </si>
  <si>
    <t>ADIT FED - HEDGE-FOREIGN EXC 1900016</t>
  </si>
  <si>
    <t>NON-UTILITY DEFERRED SIT  1902002</t>
  </si>
  <si>
    <t>DEFERRED SIT  1901002</t>
  </si>
  <si>
    <t>TOTAL ACCOUNT 190</t>
  </si>
  <si>
    <t>INDIANA MICHIGAN POWER COMPANY</t>
  </si>
  <si>
    <t>COLUMN P</t>
  </si>
  <si>
    <t>COLUMN Q</t>
  </si>
  <si>
    <t>COLUMN R</t>
  </si>
  <si>
    <t>COLUMN S</t>
  </si>
  <si>
    <t>COLUMN T</t>
  </si>
  <si>
    <t>COLUMN U</t>
  </si>
  <si>
    <t>NUCLEAR</t>
  </si>
  <si>
    <t>RTD</t>
  </si>
  <si>
    <t>EX L/T DFIT TX RESRV-SNF</t>
  </si>
  <si>
    <t>FERC - MPCO DEFD FIT @ MERGER</t>
  </si>
  <si>
    <t>FIT % RATE CHANGE-LD</t>
  </si>
  <si>
    <t>TAX LOSS ON PLANT RETIREMENTS</t>
  </si>
  <si>
    <t>ABFUDC-NUCLEAR FUEL</t>
  </si>
  <si>
    <t>ABFUDC - ROCKPORT SPARE PARTS</t>
  </si>
  <si>
    <t>ABFUDC-RKPRT-SULL EHV</t>
  </si>
  <si>
    <t>ABFUDC - ROCKPORT UNIT 1</t>
  </si>
  <si>
    <t>ABFUDC - ROCKPORT UNIT 2</t>
  </si>
  <si>
    <t>ABFUDC- RKPRT-JEFF EHV</t>
  </si>
  <si>
    <t>ABFUDC-RKPRT PC U1</t>
  </si>
  <si>
    <t>ABFUDC - COOK PLANT/U2 STEAM GNR</t>
  </si>
  <si>
    <t>INVOL CONV RKPT U1-TURBINE</t>
  </si>
  <si>
    <t>INVOL CONV RKPT U1-ASH HOPPER</t>
  </si>
  <si>
    <t>TAXES CAPITALIZED-ROCKPORT SPARE PARTS</t>
  </si>
  <si>
    <t>TAXES CAPITALIZED-RKPRT-SULL EHV</t>
  </si>
  <si>
    <t>TAXES CAPITALIZED - ROCKPORT UNIT 1</t>
  </si>
  <si>
    <t>TAXES CAPITALIZED - ROCKPORT UNIT 2</t>
  </si>
  <si>
    <t>TAXES CAPITALIZED-RKPRT-JEFF EHV</t>
  </si>
  <si>
    <t>PENSIONS CAPITALIZED-RKPRT-SULL EHV</t>
  </si>
  <si>
    <t>PENSIONS CAPITALIZED-ROCKPORT SPARE PARTS</t>
  </si>
  <si>
    <t>PENSIONS CAPITALIZED - ROCKPORT UNIT 1</t>
  </si>
  <si>
    <t>PENSIONS CAPITALIZED - RKPRT-JEFF EHV</t>
  </si>
  <si>
    <t>SAVINGS PLAN CAPITALIZED-RKPRT-SULL EHV</t>
  </si>
  <si>
    <t>SAVINGS PLAN CAPITALIZED-RKPT SPARE PARTS</t>
  </si>
  <si>
    <t>SAVINGS PLAN CAPITALIZED - ROCKPORT UNIT1</t>
  </si>
  <si>
    <t>SAVINGS PLAN CAPITALIZED - RKPRT-JEFF EHV</t>
  </si>
  <si>
    <t>CIAC - BK RECEIPTS - STEEL DYNAMICS</t>
  </si>
  <si>
    <t>INT EXP CAPD BK - THI SETTLE</t>
  </si>
  <si>
    <t>DEFD TX GAIN RKPRT LAND ABFUDC</t>
  </si>
  <si>
    <t>DEFD TX GAIN RKPRT LAND O/H</t>
  </si>
  <si>
    <t>REMOVAL COSTS-COOK U2 STM GNR</t>
  </si>
  <si>
    <t>REMOVAL COSTS-COOK U1 STM GNR</t>
  </si>
  <si>
    <t>SI-UNRECD FUEL CSTS (CUR MO)</t>
  </si>
  <si>
    <t>SM-UNRECD FUEL CSTS</t>
  </si>
  <si>
    <t>UNRECD FUEL-3 RIVERS-PRE-MERGE</t>
  </si>
  <si>
    <t>UNRECD FUEL INTEREST</t>
  </si>
  <si>
    <t>PROP TX-RKPT SPARES-WVA-TAX</t>
  </si>
  <si>
    <t>PROP TAX-RKPT U2-OLD METHOD TX</t>
  </si>
  <si>
    <t>DEFERRED INTERCOMPANY TAX G/L</t>
  </si>
  <si>
    <t>REG ASSET - UNREAL LOSS FWD CMMT</t>
  </si>
  <si>
    <t>FRT WAYNE CITY LGTS-RIGHT TO SERVE SETTLE</t>
  </si>
  <si>
    <t>SM-OVER RECOVD RCS COSTS-DEFL</t>
  </si>
  <si>
    <t>REG ASSET-DEFD CARRY COST ON STRANDED COST</t>
  </si>
  <si>
    <t>REG ASSET-DEFERRED PJM FEES</t>
  </si>
  <si>
    <t>REG ASSET-ENVIRON COMPLIANCE CARRY COSTS</t>
  </si>
  <si>
    <t>REG ASSET-OSS MARGIN SHARING</t>
  </si>
  <si>
    <t>REG ASSET-UNDERRECOVERY PJM EXPENSES</t>
  </si>
  <si>
    <t>REG ASSET-NSR CONSENT DECREE</t>
  </si>
  <si>
    <t>REG ASSET-UND/REC-CCT RIDER CAR CHGS</t>
  </si>
  <si>
    <t>REG ASSET-UNDERRECOVERY-DSM ENERGY OPT</t>
  </si>
  <si>
    <t>REG ASSET-UND/REC-CCTR PST APP ADD CAR CHGS</t>
  </si>
  <si>
    <t>REG ASSET-UND/REC-DEFD NUC DECOM STUDY CSTS</t>
  </si>
  <si>
    <t>REG ASSET-ENHNCD COOK PLT SECURITY COSTS</t>
  </si>
  <si>
    <t>REG ASSET-EO FINANCIAL INCENTIVES-MI</t>
  </si>
  <si>
    <t>REG ASSET-MI CARRYING CHARGE-EECO</t>
  </si>
  <si>
    <t>REG ASSET-MI CC-EECO UNREC EQUITY</t>
  </si>
  <si>
    <t>REG ASSET-MI DSM-EECO</t>
  </si>
  <si>
    <t>REG ASSET-IN-EECO EQUITY CC-RES</t>
  </si>
  <si>
    <t>REG ASSET-IN-EECO EQUITY CC-C&amp;I</t>
  </si>
  <si>
    <t>REG ASSET-IN-EECO TOTAL CC-RES</t>
  </si>
  <si>
    <t>REG ASSET-IN-EECO TOTAL CC-C&amp;I</t>
  </si>
  <si>
    <t>REG ASSET-IN DSM UNDER RECOV C&amp;I</t>
  </si>
  <si>
    <t>REG ASSET-IN DSM UNDER RECOV NON C&amp;I</t>
  </si>
  <si>
    <t>REG ASSET-CARRY CHARGES-MI LOST REVENUES</t>
  </si>
  <si>
    <t>REG ASSET-MI NET LOST REVENUES-CONTRA</t>
  </si>
  <si>
    <t>REG ASSET-DEFD COOK TURBINE REPL/COSTS-MI</t>
  </si>
  <si>
    <t>REG ASSET-TURBINE REPL UNRECOG EQ CC</t>
  </si>
  <si>
    <t>REG ASSET-DEFD TURBINE REPLACE EXP CC</t>
  </si>
  <si>
    <t>TAX DEFL - DEBT ISSUE COSTS</t>
  </si>
  <si>
    <t>REG ASSET-UNRECOVERED RES-MI</t>
  </si>
  <si>
    <t>REG ASSET-RES CARRYING COSTS-MI</t>
  </si>
  <si>
    <t>REG ASSET-RES UNRECOGNIZED EQUITY CC-MI</t>
  </si>
  <si>
    <t>REG ASSET-BAFFLE BOLTS</t>
  </si>
  <si>
    <t>REG ASSET-MI DEFERRED DEPR-COOK LCM</t>
  </si>
  <si>
    <t>REG ASSET-MI CARRYING CHARGE-COOK LCM</t>
  </si>
  <si>
    <t>REG ASSET-MI CC COOK LCM UNREC EQUITY</t>
  </si>
  <si>
    <t>REG ASSET-IN COOK TURBINE CC EQUITY</t>
  </si>
  <si>
    <t>REG ASSET-IN COOK TURBINE CC</t>
  </si>
  <si>
    <t xml:space="preserve">REG ASSET-IN DEF O&amp;M-DSI-20% NON-FMR </t>
  </si>
  <si>
    <t>REG ASSET-IN DEF CONSUM DSI-20% NON-FMR</t>
  </si>
  <si>
    <t xml:space="preserve">REG ASSET-IN DEF PROP TX-DSI-20% </t>
  </si>
  <si>
    <t>REG ASSET-IN CARRYING CHARGES COOK PLANT LCM UNREC EQUITY</t>
  </si>
  <si>
    <t>REG ASSET-IN CARRYING CHARGES COOK PLANT LCM</t>
  </si>
  <si>
    <t>REG ASSET-MI DEFERRED PROP TAX-COOK LCM</t>
  </si>
  <si>
    <t>REG ASSET-IN DEFERRED PROP TAX-COOK LCM</t>
  </si>
  <si>
    <t>REG ASSET-IN DEFERRED DEPRECIATION-COOK LCM</t>
  </si>
  <si>
    <t>REG ASSET-IN UNDER RECOVERY CAPACITY</t>
  </si>
  <si>
    <t>REG ASSET-ABANDONED PLANT STRANDED COSTS</t>
  </si>
  <si>
    <t>REG ASSET-ROCKPORT DSI DEPR-80PCT FMR</t>
  </si>
  <si>
    <t>REG ASSET-ROCKPORT DSI DEPR-20PCT NON-FMR</t>
  </si>
  <si>
    <t>REG ASSET-ROCKPORT DSI CC-80PCT FMR</t>
  </si>
  <si>
    <t>REG ASSET-ROCKPORT DSI EQUITY CC 80PCT FMR</t>
  </si>
  <si>
    <t>REG ASSET-ROCKPORT DSI CC-20PCT NON-FMR</t>
  </si>
  <si>
    <t>REG ASSET-ROCKPORT DSI EQ CC-20PCT NON-FMR</t>
  </si>
  <si>
    <t>REG ASSET-IN DEFERRED LCM - E3 COSTS</t>
  </si>
  <si>
    <t>REG ASSET-IN TOTAL E3 CARRYING COSTS</t>
  </si>
  <si>
    <t>REG ASSET-IN E3 EQUITY CARRYING COSTS</t>
  </si>
  <si>
    <t>REG ASSET-MI DEFD DEPR-EECO</t>
  </si>
  <si>
    <t>U1 TX DEPR NUC FUEL</t>
  </si>
  <si>
    <t>AMORT OF NUCLEAR FUEL - UNIT 1</t>
  </si>
  <si>
    <t>U2 TX DEPR NUC FUEL</t>
  </si>
  <si>
    <t>AMORT OF NUCLEAR FUEL - UNIT 2</t>
  </si>
  <si>
    <t>NUC DECOM TRUST-SFAS 143-ARO-BK</t>
  </si>
  <si>
    <t>U1-BK DEFD NUC REFUEL COSTS</t>
  </si>
  <si>
    <t>U2-BK DEFD NUC REFUEL COSTS</t>
  </si>
  <si>
    <t>BK DEFD COOK RESTART COSTS</t>
  </si>
  <si>
    <t>REG ASSET - REACQ DEBT-RKPT U2</t>
  </si>
  <si>
    <t>POST RETIREMENT BEN - PAYMENT</t>
  </si>
  <si>
    <t>DEFD EARN-POST RETIRE BEN PYMT</t>
  </si>
  <si>
    <t>SFAS 106 PST RETIREMENT EXP - NON-DEDUCT CONT</t>
  </si>
  <si>
    <t>IND GROSS REC TAX-A/C 283-CUR</t>
  </si>
  <si>
    <t>BK DEFL - MERGER COSTS</t>
  </si>
  <si>
    <t xml:space="preserve">IRS AUDIT SETTLEMENTS </t>
  </si>
  <si>
    <t>SFAS 133 ADIT FED - SFAS 133 NONAFFIL - 2830006</t>
  </si>
  <si>
    <t>ADIT FED HDG CF INT RATE - 2830015</t>
  </si>
  <si>
    <t>DEFERRED ITC - 46(F)(1)</t>
  </si>
  <si>
    <t>INT EXP CAPD - COOK U2 STEAM</t>
  </si>
  <si>
    <t>TXBL INT INC CAP FOR BK-BFSHAW</t>
  </si>
  <si>
    <t>INT EXP CAPD TAX - RKPT SPARES</t>
  </si>
  <si>
    <t>CIAC - BOOK RECEIPTS</t>
  </si>
  <si>
    <t>CUST ADV INC FOR TAX</t>
  </si>
  <si>
    <t>PROV FOR REFUND - FERC TRANS</t>
  </si>
  <si>
    <t>PROVS POSS REV REFD-FR</t>
  </si>
  <si>
    <t>DEFD BK GAIN-RKPT 2 SALE/LEASE</t>
  </si>
  <si>
    <t>PROV POSS PEN PYMTS</t>
  </si>
  <si>
    <t>EMPLOYERS SAVINGS PLAN MATCH</t>
  </si>
  <si>
    <t xml:space="preserve">ACCRUED BK BENEFIT COSTS </t>
  </si>
  <si>
    <t>PROVISION FOR R &amp; D WASTE ACCRUAL LT</t>
  </si>
  <si>
    <t>PROV RAD WASTE ACCRUAL-ST</t>
  </si>
  <si>
    <t>BK PROV UNCOLL ACCTS-LT</t>
  </si>
  <si>
    <t>PROVISION FOR LITIGATION</t>
  </si>
  <si>
    <t xml:space="preserve">ACCRD ENVIRONMENTAL LIAB-LONG TERM </t>
  </si>
  <si>
    <t>ACCRUED LEASE LIABILITY - FORT WAYNE</t>
  </si>
  <si>
    <t>ACCRD SEMCO ENVIRON REMEDIATION CSTS-S/T</t>
  </si>
  <si>
    <t>ACCRD BK SEI EMP BENEFIT COSTS</t>
  </si>
  <si>
    <t>FRT WAYNE CITY LGTS SETTLEMENT</t>
  </si>
  <si>
    <t>ACCRUED INTEREST EXP -STATE</t>
  </si>
  <si>
    <t>TAX&gt;BOOK BASIS-EMA-A/C-190</t>
  </si>
  <si>
    <t>DEFD BK GAIN-NON-AFF SALE-EMA</t>
  </si>
  <si>
    <t>DEFD BK LOSS-NON-AFF SALE-EMA</t>
  </si>
  <si>
    <t>OUTAGE INSURANCE PROCEEDS</t>
  </si>
  <si>
    <t>REG LIABILITY-SFAS 143 - ARO</t>
  </si>
  <si>
    <t>INSTALL ALLOWANCES CAPD - TAX</t>
  </si>
  <si>
    <t>SM-DEFD PRE 4 7 83 DISP CSTS</t>
  </si>
  <si>
    <t>SI-DEFD PRE 4 7 83 DISP CSTS</t>
  </si>
  <si>
    <t>FR-DEFD PRE 4 7 83 DISP CSTS</t>
  </si>
  <si>
    <t>TC-DEFD DISPOL CSTS NUC FUEL</t>
  </si>
  <si>
    <t>AMORT SNF DISPOSAL CONTAINER COSTS</t>
  </si>
  <si>
    <t>FR-AMORT INT PRE 4 7 83 DISP</t>
  </si>
  <si>
    <t>SI-AMORT INT PRE 4 7 83 DISP</t>
  </si>
  <si>
    <t>SM-AMORT INT PRE 4 7 83 DISP</t>
  </si>
  <si>
    <t>TC-ACC INT PRE 4 7 83 DISP CST</t>
  </si>
  <si>
    <t>BK EXP NUC FUEL DECONTAM FUND</t>
  </si>
  <si>
    <t>SM-ACC NQ NUC DECOM EXP -RATES</t>
  </si>
  <si>
    <t>SI-ACC NQ NUC DECOM EXP -RATES</t>
  </si>
  <si>
    <t>FR-ACC NQ NUC DECOM EXP -RATES</t>
  </si>
  <si>
    <t>SM-ACC NUC DCM EXP-NQ TR INC</t>
  </si>
  <si>
    <t>SI-ACC NUC DCM EXP-NQ TR INC</t>
  </si>
  <si>
    <t>FR-ACC NUC DCM EXP-NQ TR INC</t>
  </si>
  <si>
    <t>BK DEFL-GAIN REACQUIRED DEBT</t>
  </si>
  <si>
    <t>BK PROV-W/O DEFD SFAS 106 BAL</t>
  </si>
  <si>
    <t>AMORT STEP-UP ITC TO TI-RKPT 2</t>
  </si>
  <si>
    <t>CAPITALIZED COOK COSTS - TAX</t>
  </si>
  <si>
    <t>1977-1980 IRS AUDIT SETTLEMENT</t>
  </si>
  <si>
    <t>1981-1982 IRS AUDIT SETTLEMENT</t>
  </si>
  <si>
    <t>1988-1990 IRS AUDIT SETTLEMENT</t>
  </si>
  <si>
    <t>1997-1999 IRS AUDIT SETTLEMENT</t>
  </si>
  <si>
    <t>DEFD FIT - CAPITAL LOSS CFWD</t>
  </si>
  <si>
    <t xml:space="preserve">DEFD STATE INCOME TAXES  </t>
  </si>
  <si>
    <t>ADIT FED - PENSION OCI 1900010</t>
  </si>
  <si>
    <t>ADIT FED - PENSION NON-UMWA PRW OCI 1900011</t>
  </si>
  <si>
    <t>ADIT FED HDG CF INT RATE 1900015</t>
  </si>
  <si>
    <t>KINGSPORT POWER COMPANY</t>
  </si>
  <si>
    <t>REG ASSET-RTO DEMAND RESPONSE COSTS</t>
  </si>
  <si>
    <t>DECEMBER 31, 2015</t>
  </si>
  <si>
    <t>PROVS POSS REV REFDS-A/L</t>
  </si>
  <si>
    <t>ACCRUED BOOK SEVERANCE BENEFITS</t>
  </si>
  <si>
    <t xml:space="preserve">DEFD STATE INCOME TAXES - FIN 48 </t>
  </si>
  <si>
    <t>KENTUCKY POWER COMPANY</t>
  </si>
  <si>
    <t>NON-UTILITY DEFERRED FIT 281.2</t>
  </si>
  <si>
    <t>EXCESS FIT % RATE CHANGE</t>
  </si>
  <si>
    <t>EX L/T DFIT TX RESERVE - 1986 TRA</t>
  </si>
  <si>
    <t xml:space="preserve">ACRS  NORM-HRJ </t>
  </si>
  <si>
    <t>ABFUDC- HRJ POST IN-SERVICE</t>
  </si>
  <si>
    <t>ABFUDC-HRJ</t>
  </si>
  <si>
    <t>REMOVAL CST - NORMALIZED</t>
  </si>
  <si>
    <t>NOL-STATE C/F-DEF TAX ASSET-L/T - KY</t>
  </si>
  <si>
    <t>DEFD FUEL CUR SET UP A/C 283</t>
  </si>
  <si>
    <t>DEFD FUEL ACC REVS A/C 283</t>
  </si>
  <si>
    <t>DEFD FUEL REG ADJ A/C 283</t>
  </si>
  <si>
    <t>BOOK PROV UNCOLL ACCTS</t>
  </si>
  <si>
    <t>REG ASSET-ATR UNDER RECOVERY</t>
  </si>
  <si>
    <t xml:space="preserve">REG ASSET-BIG SANDY U1 OR-UNDER RECOV </t>
  </si>
  <si>
    <t>REG ASSET-BIG SANDY RETIRE COSTS RECOV</t>
  </si>
  <si>
    <t>REG ASSET-BIG SANDY RETIRE RIDER U2 O&amp;M</t>
  </si>
  <si>
    <t>REG ASSET-UND RECOV-PURCH PWR PPA</t>
  </si>
  <si>
    <t>REG ASSET-DEFD DEPREC-ENVIRONMENTAL</t>
  </si>
  <si>
    <t>REG ASSET-CAR CHGS-ENVIRON COSTS</t>
  </si>
  <si>
    <t>REG ASSET-CAR CHGS-ENVIRON UNREC EQUITY</t>
  </si>
  <si>
    <t>REG ASSET-DEFD O&amp;M-ENVIRONMENTAL CSTS</t>
  </si>
  <si>
    <t>REG ASSET-DEFD CONSUM EXP-ENVIRON CSTS</t>
  </si>
  <si>
    <t>REG ASSET-DEFD PROP TAX EXP-ENVIRON CSTS</t>
  </si>
  <si>
    <t>REG ASSET-REMOVAL COSTS-AMORT-BIG SANDY</t>
  </si>
  <si>
    <t>REG ASSET-SPENT ARO-BIG SANDY</t>
  </si>
  <si>
    <t>REG ASSET-UNRECOVERED PLANT-BIG SANDY</t>
  </si>
  <si>
    <t>SFAS 106 PST RETIRE EXP-NON-DEDUCT CONT</t>
  </si>
  <si>
    <t>NON-UTILITY DEFERRED FIT 283.2</t>
  </si>
  <si>
    <t>ADIT - FED-HDG-CF-INT RATE 2830015</t>
  </si>
  <si>
    <t xml:space="preserve">SFAS 109 - DEFD STATE INCOME TAXES </t>
  </si>
  <si>
    <t>DEFD FUEL EXP-CUR DEFL SET UP</t>
  </si>
  <si>
    <t>DEFD FUEL ADJ-ACCRD UTIL REVS</t>
  </si>
  <si>
    <t>DEFD FUEL ADJ-REG</t>
  </si>
  <si>
    <t>MTM BK LOSS-A/L-TAX DEFL</t>
  </si>
  <si>
    <t>PREL SURVEY&amp;INVEST RESERVE-BIG SANDY FGD</t>
  </si>
  <si>
    <t>ECONOMIC DEVEL FUND - CURRENT</t>
  </si>
  <si>
    <t>ECONOMIC DEVEL FUND - NON-CURRENT</t>
  </si>
  <si>
    <t>DEFD REV-BONUS LEASE SHORT-TERM</t>
  </si>
  <si>
    <t>DEFD REV-BONUS LEASE LONG-TERM</t>
  </si>
  <si>
    <t>REG ASSET-CCS FEED STUDY RESERVE</t>
  </si>
  <si>
    <t>FIN 48 DSIT</t>
  </si>
  <si>
    <t xml:space="preserve">ACCRD SALES &amp; USE TAX RESERVE </t>
  </si>
  <si>
    <t>ACCRD SIT TX RESERVE - SHRT-TERM-FIN 48</t>
  </si>
  <si>
    <t>ADIT FED - PENSION OCI NAF 1900010</t>
  </si>
  <si>
    <t>ADIT FED - NON-UMWA PRW OCI NAF 1900011</t>
  </si>
  <si>
    <t>ADIT-FED-HDG-CF-INT RATE1900015</t>
  </si>
  <si>
    <t>OHIO POWER COMPANY</t>
  </si>
  <si>
    <t>TAX AMORT POLLUTION CONTROL EQPT</t>
  </si>
  <si>
    <t>TAX ACCEL AMORT-GAVIN SCRUBBER</t>
  </si>
  <si>
    <t>GYPSUM WALLBOARD CONVEYOR</t>
  </si>
  <si>
    <t>DFIT-GENERATION PLANT</t>
  </si>
  <si>
    <t>GAIN/LOSS ON ACRS/MACRS-BK/TX UNIT OF PROPERTY</t>
  </si>
  <si>
    <t>AOFUDC</t>
  </si>
  <si>
    <t>ABFUDC-C&amp;SOE GROSS METHOD</t>
  </si>
  <si>
    <t>ABFUDC-SMART HOUSE - LAND</t>
  </si>
  <si>
    <t>BK/TAX GAIN-SALE OF MISC PROP</t>
  </si>
  <si>
    <t>BK VS. TAX GAIN/LOSS - SPORN UNIT 5</t>
  </si>
  <si>
    <t>REMOVAL COSTS REV-SFAS 143-ARO</t>
  </si>
  <si>
    <t>FERC JMG ADJUSTMENT</t>
  </si>
  <si>
    <t>DEFD FUEL EXP-OH FAC-CURRENT</t>
  </si>
  <si>
    <t>CAPD CARRY CHRG-DEFD OH DEREG</t>
  </si>
  <si>
    <t>FAC PROV-CONTRA ASSET-OH</t>
  </si>
  <si>
    <t xml:space="preserve">CARRY CHGS - OH FUEL ADJUST CLAUSE  </t>
  </si>
  <si>
    <t>CARRYING CHARGES-OHIO FUEL ADJ CLAUSE-CURRENT</t>
  </si>
  <si>
    <t>UNRECOV COST FAC-LT RESERVE-OH</t>
  </si>
  <si>
    <t xml:space="preserve">DEFD TAX GAIN - DIVIDEND OF PARK GARAGE  </t>
  </si>
  <si>
    <t>OH UNRECOV FUEL COST RESERVE</t>
  </si>
  <si>
    <t>DEFD TAX GAIN - DIVIDEND OF PARK GARAGE</t>
  </si>
  <si>
    <t>DEFD TAX GAIN - SEC I REG ASSET</t>
  </si>
  <si>
    <t>MARK &amp; SPREAD-DEFL-283-A/L</t>
  </si>
  <si>
    <t>CCD BILL- PREPAID PENSIONS-DFL</t>
  </si>
  <si>
    <t>DEFERRED EXPENSES</t>
  </si>
  <si>
    <t>RATE CASE DEFD CHARGES</t>
  </si>
  <si>
    <t>BK DEFL-COOK COAL T LEASE CSTS</t>
  </si>
  <si>
    <t>PILOT OBLIGATIONS - PLANT ACQUISITIONS</t>
  </si>
  <si>
    <t>BK INVEST-AEPC IN-KIND SERVICES</t>
  </si>
  <si>
    <t>DEFD BK LOSS - NON-AFF SALE - EMA</t>
  </si>
  <si>
    <t>REG LIAB-UNUSED SHOPPING INCENTIVES</t>
  </si>
  <si>
    <t>REG ASSET-DEFD RSP FILING COSTS</t>
  </si>
  <si>
    <t>REG ASSET-EXT OF LOCAL FACILITIES</t>
  </si>
  <si>
    <t>REG ASSET-DEFD DEREG CARRY CHARGE COSTS</t>
  </si>
  <si>
    <t>REG ASSET-UNDER RECOV - OHIO TCR RIDER</t>
  </si>
  <si>
    <t>REG ASSET-CARRY CHGS - OHIO TCR RIDER</t>
  </si>
  <si>
    <t>REG ASSET-OHIO STORM RECOVERY</t>
  </si>
  <si>
    <t>REG ASSET-UNDERRECOVERY ESRP COSTS-OH</t>
  </si>
  <si>
    <t>REG ASSET-UND/REC GRIDSMART DIST EXP</t>
  </si>
  <si>
    <t>REG ASSET-UND/REC GRIDSMART CARRY CHGS</t>
  </si>
  <si>
    <t>REG ASSET-UND/REC GRIDSMART DEPR/A&amp;G EXP</t>
  </si>
  <si>
    <t>REG ASSET-UND/REC GRIDSMART DEF EQ CAR CHG</t>
  </si>
  <si>
    <t>REG ASSET-PROV FOR REG ASSET WRITE-OFF</t>
  </si>
  <si>
    <t>REG ASSET-EDR - ORMET CARRYING COSTS</t>
  </si>
  <si>
    <t xml:space="preserve">REG ASSET-EDR - ORMET </t>
  </si>
  <si>
    <t xml:space="preserve">REG ASSET-EXCESS EDR CAP DEFERRAL </t>
  </si>
  <si>
    <t xml:space="preserve">REG ASSET-EXCESS EDR CAP DEF-CAR CSTS  </t>
  </si>
  <si>
    <t>REG ASSET-DARR-UNRECOGNIZED EQUITY CARRY CHG</t>
  </si>
  <si>
    <t>REG ASSET-DARR-CARRYING CHARGES</t>
  </si>
  <si>
    <t>REG ASSET-DARR-DISTRIBUTION DEFERRED ASSETS</t>
  </si>
  <si>
    <t>REG ASSET-DEFD RECOVERABLE DISTR ASSET FOR PWO</t>
  </si>
  <si>
    <t>REG ASSET-UNDER RECOVERED CAPACITY COST</t>
  </si>
  <si>
    <t>REG ASSET-CAPACITY COST CARRYING CHARGES</t>
  </si>
  <si>
    <t>REG ASSET-UND/REC DIST INVEST RIDER</t>
  </si>
  <si>
    <t>REG ASSET-UND/REC DIST RECOUP REV PROG</t>
  </si>
  <si>
    <t>REG ASSET-DIR UNRECOGNIZED EQUITY</t>
  </si>
  <si>
    <t>REG ASSET-UNCOLL-EDR DELAYED PMT ARNGMNT</t>
  </si>
  <si>
    <t>REG ASSET-UNREC AER COSTS-OH</t>
  </si>
  <si>
    <t>REG ASSET-DIST DECOUPLING CARRYING CHARGES</t>
  </si>
  <si>
    <t>REG ASSET-PTBAR CARRYING CHARGES (DIST DECOUP)</t>
  </si>
  <si>
    <t xml:space="preserve">REG ASSET-PTBAR UNDER REC (DIST DECOUP) </t>
  </si>
  <si>
    <t>REG ASSET-UND/REC gSMART PHASE 2 O&amp;M</t>
  </si>
  <si>
    <t>STATE TAX EXPENSE</t>
  </si>
  <si>
    <t>BOOK &gt; TAX BASIS-PRTSHP INVEST</t>
  </si>
  <si>
    <t>ADIT FED - SFAS 133 NONAFFIL 2830006</t>
  </si>
  <si>
    <t>ADIT FED - HDG-CF-INT RATE 28300015</t>
  </si>
  <si>
    <t>ADIT FED - HDG-CF-FOR EXCHG 28300016</t>
  </si>
  <si>
    <t>DEFERRED STATE INCOME TAX</t>
  </si>
  <si>
    <t>TAX ALLOC-ITC-10%-46F1</t>
  </si>
  <si>
    <t>PERIOD ENDING DECEMBER 31,  2015</t>
  </si>
  <si>
    <t>SEC ALLOC - ITC - GENERATION PLANT</t>
  </si>
  <si>
    <t>IGCC REVENUES</t>
  </si>
  <si>
    <t>TAXABLE GRANTS-CAPITAL PORTION</t>
  </si>
  <si>
    <t>LOSS ON DISP OF PROP - SFAS 143 - ARO -BK</t>
  </si>
  <si>
    <t>PROV FOR REFUND-DEFERRED FAC-OH</t>
  </si>
  <si>
    <t>MARK &amp; SPREAD - DEFL - 190 - A/L</t>
  </si>
  <si>
    <t>ACCRUED BK BENEFIT COSTS</t>
  </si>
  <si>
    <t>BK ACCRD CUST EDUC FUND REIMB</t>
  </si>
  <si>
    <t>BK PROV-LT COAL NOTE RECEIVABLE</t>
  </si>
  <si>
    <t>BK PROV UNCOLL ACCTS-LT ORMET</t>
  </si>
  <si>
    <t>PIP CUSTOMER BAD DEBTS - BOOK</t>
  </si>
  <si>
    <t>DEFD COMPENSATION-BOOK EXPENSE</t>
  </si>
  <si>
    <t>BK LOSS PROV - PLANT M&amp;S</t>
  </si>
  <si>
    <t>ACCRUED MGMT INCENTIVE BONUS</t>
  </si>
  <si>
    <t>ACCRD PARTNERSHIP WITH OH-NONCURRENT</t>
  </si>
  <si>
    <t>ACCRD PARTNERSHIP WITH OH-CURRENT</t>
  </si>
  <si>
    <t>ACCRD OH GROWTH FUND-NONCURRENT</t>
  </si>
  <si>
    <t>ACCRD OH GROWTH FUND-CURRENT</t>
  </si>
  <si>
    <t>ACCRUED BK SEI EMP BENEFIT COSTS</t>
  </si>
  <si>
    <t>BK ACCRUAL -COOK CT RENT HOLIDAY</t>
  </si>
  <si>
    <t>ACCRD LOW INCOME HOUSING OBLIGATIONS</t>
  </si>
  <si>
    <t>PROV LOSS-CAR CHG-PURCHASED EMA</t>
  </si>
  <si>
    <t>CCD BILL-DFRD RETIRE BENE-DFL</t>
  </si>
  <si>
    <t>STATE MITIGATION PROGRAMS</t>
  </si>
  <si>
    <t>DEFD CREDITS - DEFD DEPR &amp; CAPACITY CST</t>
  </si>
  <si>
    <t>TX DFL JT POLE ATT CSTS</t>
  </si>
  <si>
    <t>BK ACC MIN RENTS-GAVIN SCRUB</t>
  </si>
  <si>
    <t>TAX &gt; BOOK BASIS - EMA - A/C 190</t>
  </si>
  <si>
    <t>DEFD TX LOSS - INTERCO SALE - EMA</t>
  </si>
  <si>
    <t>BK AMORT-QUAL OF SRVC ENHANCE</t>
  </si>
  <si>
    <t>DEFD CREDITS - EXT OF LOCAL FACILITIES</t>
  </si>
  <si>
    <t>REG LIAB-GRIDSMART RESERVE</t>
  </si>
  <si>
    <t>REG LIAB - DEFD DEREG CARRY CHARGE COSTS</t>
  </si>
  <si>
    <t>IMPAIRED ASSETS RES - FAS 121 - BK</t>
  </si>
  <si>
    <t>AMORT - GOODWILL PER BOOKS</t>
  </si>
  <si>
    <t>BK CAPD SETTLEMENT CHARGES</t>
  </si>
  <si>
    <t>SFAS 106-MEDICARE SUBSIDY-NORM-(PPACA)</t>
  </si>
  <si>
    <t>REMOVAL COST CAPD-BK/TX UNIT OF PROP</t>
  </si>
  <si>
    <t>STATE TAX EXPENSED</t>
  </si>
  <si>
    <t>GRIDSMART CAPITAL RESERVE</t>
  </si>
  <si>
    <t>BOOK &gt; TAX BASIS - PARTNERSHIP INVEST</t>
  </si>
  <si>
    <t>CHARITABLE CONTRIBUTION CARRYFORWARD</t>
  </si>
  <si>
    <t>ACCRUED WV B&amp;O TAX RESERVE</t>
  </si>
  <si>
    <t>SO2 ALLOWANCE PROVISION-OH VALUATION</t>
  </si>
  <si>
    <t>AMORT 77-80 IRS SETTLEMENT</t>
  </si>
  <si>
    <t>AMORT 85-87 IRS SETTLEMENT</t>
  </si>
  <si>
    <t>AMORT 88-90 IRS SETTLEMENT</t>
  </si>
  <si>
    <t>AMORT 91-96 IRS SETTLEMENT</t>
  </si>
  <si>
    <t>ADIT FED - HEDGE-CF-FOR EXCHG 1900016</t>
  </si>
  <si>
    <t>WHEELING POWER COMPANY</t>
  </si>
  <si>
    <t>DEFD RTO EXPENSES</t>
  </si>
  <si>
    <t xml:space="preserve">REG ASSET-REGULATORY ADJ-MITCHELL PLANT </t>
  </si>
  <si>
    <t>SW OVER RECOVERY OF FUEL</t>
  </si>
  <si>
    <t>SW UNDER RECOVERY OF FUEL</t>
  </si>
  <si>
    <t>NON-UTILITY DEFERRED FIT</t>
  </si>
  <si>
    <t>SFAS 133 ADIT FED - Non-UMWA PRW OCI 1900011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</si>
</sst>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>
        <color indexed="8"/>
      </top>
      <bottom style="double"/>
    </border>
  </borders>
  <cellStyleXfs count="66">
    <xf numFmtId="3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3" fontId="0" fillId="0" borderId="0">
      <alignment/>
      <protection/>
    </xf>
    <xf numFmtId="3" fontId="8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3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7" fontId="0" fillId="0" borderId="11" xfId="0" applyNumberFormat="1" applyFont="1" applyFill="1" applyBorder="1" applyAlignment="1">
      <alignment/>
    </xf>
    <xf numFmtId="3" fontId="0" fillId="0" borderId="0" xfId="0" applyFill="1" applyAlignment="1">
      <alignment/>
    </xf>
    <xf numFmtId="3" fontId="0" fillId="0" borderId="0" xfId="0" applyFont="1" applyFill="1" applyAlignment="1">
      <alignment/>
    </xf>
    <xf numFmtId="37" fontId="0" fillId="32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3" fontId="2" fillId="0" borderId="0" xfId="0" applyFont="1" applyFill="1" applyAlignment="1">
      <alignment horizontal="center"/>
    </xf>
    <xf numFmtId="3" fontId="0" fillId="0" borderId="0" xfId="0" applyFont="1" applyFill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/>
    </xf>
    <xf numFmtId="3" fontId="0" fillId="0" borderId="0" xfId="0" applyFill="1" applyAlignment="1">
      <alignment horizontal="center"/>
    </xf>
    <xf numFmtId="3" fontId="3" fillId="0" borderId="0" xfId="0" applyFont="1" applyFill="1" applyAlignment="1">
      <alignment horizontal="left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Alignment="1">
      <alignment horizontal="center"/>
    </xf>
    <xf numFmtId="3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0" fillId="0" borderId="0" xfId="0" applyFont="1" applyAlignment="1">
      <alignment horizontal="center"/>
    </xf>
    <xf numFmtId="3" fontId="0" fillId="0" borderId="0" xfId="0" applyNumberFormat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3" fontId="0" fillId="0" borderId="11" xfId="0" applyNumberFormat="1" applyFont="1" applyBorder="1" applyAlignment="1">
      <alignment/>
    </xf>
    <xf numFmtId="3" fontId="0" fillId="0" borderId="0" xfId="0" applyFont="1" applyFill="1" applyAlignment="1">
      <alignment horizontal="left"/>
    </xf>
    <xf numFmtId="37" fontId="0" fillId="33" borderId="0" xfId="0" applyNumberFormat="1" applyFont="1" applyFill="1" applyAlignment="1">
      <alignment/>
    </xf>
    <xf numFmtId="3" fontId="0" fillId="0" borderId="0" xfId="0" applyFont="1" applyFill="1" applyAlignment="1">
      <alignment horizontal="right"/>
    </xf>
    <xf numFmtId="3" fontId="0" fillId="0" borderId="0" xfId="0" applyFill="1" applyAlignment="1">
      <alignment horizontal="right"/>
    </xf>
    <xf numFmtId="3" fontId="0" fillId="0" borderId="0" xfId="59" applyNumberFormat="1" applyFont="1" applyFill="1" applyAlignment="1">
      <alignment/>
      <protection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0" xfId="0" applyFont="1" applyFill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0" xfId="0" applyFont="1" applyFill="1" applyAlignment="1">
      <alignment horizontal="left"/>
    </xf>
    <xf numFmtId="37" fontId="0" fillId="0" borderId="0" xfId="0" applyNumberFormat="1" applyFont="1" applyFill="1" applyAlignment="1">
      <alignment horizontal="center"/>
    </xf>
    <xf numFmtId="37" fontId="0" fillId="32" borderId="0" xfId="0" applyNumberFormat="1" applyFont="1" applyFill="1" applyAlignment="1">
      <alignment/>
    </xf>
    <xf numFmtId="37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 horizontal="center"/>
    </xf>
    <xf numFmtId="37" fontId="0" fillId="33" borderId="0" xfId="44" applyNumberFormat="1" applyFont="1" applyFill="1" applyAlignment="1">
      <alignment/>
    </xf>
    <xf numFmtId="3" fontId="0" fillId="0" borderId="0" xfId="0" applyFill="1" applyAlignment="1">
      <alignment/>
    </xf>
    <xf numFmtId="3" fontId="0" fillId="0" borderId="0" xfId="0" applyFont="1" applyFill="1" applyAlignment="1">
      <alignment/>
    </xf>
    <xf numFmtId="164" fontId="0" fillId="32" borderId="0" xfId="44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" fontId="0" fillId="0" borderId="0" xfId="59" applyNumberFormat="1" applyFont="1" applyFill="1" applyAlignment="1">
      <alignment/>
      <protection/>
    </xf>
    <xf numFmtId="3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0" fillId="0" borderId="0" xfId="0" applyFill="1" applyAlignment="1">
      <alignment horizontal="left"/>
    </xf>
    <xf numFmtId="37" fontId="0" fillId="0" borderId="0" xfId="0" applyNumberFormat="1" applyFont="1" applyAlignment="1">
      <alignment/>
    </xf>
    <xf numFmtId="37" fontId="9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0" fillId="0" borderId="10" xfId="0" applyNumberForma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37" fontId="0" fillId="32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1" xfId="0" applyNumberFormat="1" applyFill="1" applyBorder="1" applyAlignment="1">
      <alignment/>
    </xf>
    <xf numFmtId="164" fontId="0" fillId="0" borderId="0" xfId="44" applyNumberFormat="1" applyFont="1" applyFill="1" applyAlignment="1">
      <alignment/>
    </xf>
    <xf numFmtId="164" fontId="0" fillId="0" borderId="0" xfId="44" applyNumberFormat="1" applyFont="1" applyAlignment="1">
      <alignment/>
    </xf>
    <xf numFmtId="3" fontId="0" fillId="0" borderId="0" xfId="0" applyNumberFormat="1" applyFont="1" applyAlignment="1">
      <alignment horizontal="left"/>
    </xf>
    <xf numFmtId="164" fontId="2" fillId="0" borderId="0" xfId="44" applyNumberFormat="1" applyFont="1" applyAlignment="1">
      <alignment horizontal="center"/>
    </xf>
    <xf numFmtId="164" fontId="0" fillId="0" borderId="0" xfId="44" applyNumberFormat="1" applyFont="1" applyAlignment="1">
      <alignment horizontal="centerContinuous"/>
    </xf>
    <xf numFmtId="164" fontId="0" fillId="0" borderId="11" xfId="44" applyNumberFormat="1" applyFont="1" applyBorder="1" applyAlignment="1">
      <alignment/>
    </xf>
    <xf numFmtId="37" fontId="0" fillId="33" borderId="0" xfId="0" applyNumberFormat="1" applyFill="1" applyAlignment="1">
      <alignment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STATEMENT 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Correspondence\ADIT\APCO-AF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Correspondence\ADIT\IMPCO-AF-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Correspondence\ADIT\KGPCO-AF-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Correspondence\ADIT\KYPCO-AF-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Correspondence\ADIT\OPCO-AF-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Correspondence\ADIT\WPCO%20AF-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Correspondence\ADIT\WPCO%20AG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CO_2821001"/>
      <sheetName val="APCO_2831001"/>
      <sheetName val="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 STATEMENT AF"/>
      <sheetName val="IMPCO_2821001"/>
      <sheetName val="IMPCO_2831001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gPCo STATEMENT AF"/>
      <sheetName val="KGPCO_2821001"/>
      <sheetName val="KGPCO_2831001"/>
      <sheetName val="Tab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PCo STATEMENT AF"/>
      <sheetName val="KYPCO_2821001"/>
      <sheetName val="KYPCO_2831001"/>
      <sheetName val="Tabl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Co STATEMENT AF"/>
      <sheetName val="OPCO_2821001"/>
      <sheetName val="OPCO_2831001"/>
      <sheetName val="Tabl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PCo STATEMENT AF"/>
      <sheetName val="GL vs Provision"/>
      <sheetName val="WPCO_2821001"/>
      <sheetName val="WPCO_2831001"/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PCo STATEMENT AG"/>
      <sheetName val="WPCO_1901001"/>
      <sheetName val="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14" sqref="C14"/>
    </sheetView>
  </sheetViews>
  <sheetFormatPr defaultColWidth="12.7109375" defaultRowHeight="12.75"/>
  <cols>
    <col min="1" max="1" width="4.7109375" style="2" customWidth="1"/>
    <col min="2" max="2" width="54.710937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26" t="s">
        <v>181</v>
      </c>
      <c r="G1" s="8"/>
      <c r="H1" s="8"/>
      <c r="I1" s="8"/>
      <c r="J1" s="8"/>
      <c r="K1" s="8"/>
      <c r="L1" s="8"/>
      <c r="S1" s="8"/>
    </row>
    <row r="2" spans="2:19" ht="12.75">
      <c r="B2" s="26" t="s">
        <v>180</v>
      </c>
      <c r="G2" s="8"/>
      <c r="H2" s="8"/>
      <c r="I2" s="8"/>
      <c r="J2" s="8"/>
      <c r="K2" s="8"/>
      <c r="L2" s="8"/>
      <c r="S2" s="8"/>
    </row>
    <row r="3" ht="12.75">
      <c r="B3" s="26" t="s">
        <v>179</v>
      </c>
    </row>
    <row r="4" spans="7:12" ht="12.75">
      <c r="G4" s="25" t="s">
        <v>178</v>
      </c>
      <c r="H4" s="25"/>
      <c r="I4" s="25"/>
      <c r="J4" s="25"/>
      <c r="K4" s="25"/>
      <c r="L4" s="25"/>
    </row>
    <row r="5" ht="12.75">
      <c r="B5" s="24"/>
    </row>
    <row r="6" ht="12.75"/>
    <row r="7" ht="12.75"/>
    <row r="8" spans="2:19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/>
      <c r="M8" s="18" t="s">
        <v>168</v>
      </c>
      <c r="N8" s="18" t="s">
        <v>167</v>
      </c>
      <c r="O8" s="18" t="s">
        <v>166</v>
      </c>
      <c r="Q8" s="18" t="s">
        <v>165</v>
      </c>
      <c r="R8" s="18" t="s">
        <v>164</v>
      </c>
      <c r="S8" s="18" t="s">
        <v>163</v>
      </c>
    </row>
    <row r="9" ht="12.75"/>
    <row r="10" spans="3:19" ht="12.75">
      <c r="C10" s="21" t="s">
        <v>162</v>
      </c>
      <c r="D10" s="21"/>
      <c r="E10" s="23" t="s">
        <v>161</v>
      </c>
      <c r="F10" s="21"/>
      <c r="G10" s="19" t="s">
        <v>160</v>
      </c>
      <c r="H10" s="19"/>
      <c r="I10" s="22" t="s">
        <v>159</v>
      </c>
      <c r="J10" s="21"/>
      <c r="K10" s="21"/>
      <c r="L10" s="19"/>
      <c r="M10" s="22" t="s">
        <v>158</v>
      </c>
      <c r="N10" s="21"/>
      <c r="O10" s="21"/>
      <c r="Q10" s="22" t="s">
        <v>157</v>
      </c>
      <c r="R10" s="21"/>
      <c r="S10" s="21"/>
    </row>
    <row r="11" spans="3:19" ht="12.75">
      <c r="C11" s="20"/>
      <c r="D11" s="20"/>
      <c r="G11" s="19" t="s">
        <v>156</v>
      </c>
      <c r="H11" s="19"/>
      <c r="I11" s="20"/>
      <c r="J11" s="20"/>
      <c r="K11" s="20"/>
      <c r="L11" s="19"/>
      <c r="M11" s="20"/>
      <c r="N11" s="20"/>
      <c r="O11" s="20"/>
      <c r="Q11" s="20"/>
      <c r="R11" s="20"/>
      <c r="S11" s="20"/>
    </row>
    <row r="12" spans="3:12" ht="12.75">
      <c r="C12" s="19" t="s">
        <v>155</v>
      </c>
      <c r="D12" s="19" t="s">
        <v>155</v>
      </c>
      <c r="E12" s="19" t="s">
        <v>155</v>
      </c>
      <c r="F12" s="19" t="s">
        <v>155</v>
      </c>
      <c r="G12" s="19" t="s">
        <v>154</v>
      </c>
      <c r="H12" s="19"/>
      <c r="L12" s="19"/>
    </row>
    <row r="13" spans="2:19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D13</f>
        <v>OF 12-31-14</v>
      </c>
      <c r="G13" s="18" t="s">
        <v>150</v>
      </c>
      <c r="H13" s="18"/>
      <c r="I13" s="18" t="s">
        <v>149</v>
      </c>
      <c r="J13" s="18" t="s">
        <v>148</v>
      </c>
      <c r="K13" s="18" t="s">
        <v>147</v>
      </c>
      <c r="L13" s="18"/>
      <c r="M13" s="18" t="s">
        <v>149</v>
      </c>
      <c r="N13" s="18" t="s">
        <v>148</v>
      </c>
      <c r="O13" s="18" t="s">
        <v>147</v>
      </c>
      <c r="Q13" s="18" t="s">
        <v>149</v>
      </c>
      <c r="R13" s="18" t="s">
        <v>148</v>
      </c>
      <c r="S13" s="18" t="s">
        <v>147</v>
      </c>
    </row>
    <row r="14" ht="12.75"/>
    <row r="15" spans="1:19" ht="12.75">
      <c r="A15" s="5">
        <v>1</v>
      </c>
      <c r="B15" s="7" t="s">
        <v>146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5">
        <f aca="true" t="shared" si="0" ref="A16:A47">A15+1</f>
        <v>2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5">
        <f t="shared" si="0"/>
        <v>3</v>
      </c>
      <c r="B17" s="7" t="s">
        <v>145</v>
      </c>
      <c r="C17" s="4">
        <f>SUM(M17:O17)</f>
        <v>317728820.8</v>
      </c>
      <c r="D17" s="4">
        <f>SUM(Q17:S17)</f>
        <v>308697316.9</v>
      </c>
      <c r="E17" s="4"/>
      <c r="F17" s="4"/>
      <c r="G17" s="4">
        <f>ROUND(SUM(C17:F17)/2,0)</f>
        <v>313213069</v>
      </c>
      <c r="H17" s="4"/>
      <c r="I17" s="4">
        <f>(M17+Q17)/2</f>
        <v>313213068.85</v>
      </c>
      <c r="J17" s="4">
        <f>(N17+R17)/2</f>
        <v>0</v>
      </c>
      <c r="K17" s="4">
        <f>(O17+S17)/2</f>
        <v>0</v>
      </c>
      <c r="L17" s="4"/>
      <c r="M17" s="9">
        <v>317728820.8</v>
      </c>
      <c r="N17" s="9">
        <v>0</v>
      </c>
      <c r="O17" s="9">
        <v>0</v>
      </c>
      <c r="P17" s="4"/>
      <c r="Q17" s="9">
        <v>308697316.9</v>
      </c>
      <c r="R17" s="9">
        <v>0</v>
      </c>
      <c r="S17" s="9">
        <v>0</v>
      </c>
    </row>
    <row r="18" spans="1:19" ht="12.75">
      <c r="A18" s="5">
        <f t="shared" si="0"/>
        <v>4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5">
        <f t="shared" si="0"/>
        <v>5</v>
      </c>
      <c r="B19" s="8" t="s">
        <v>16</v>
      </c>
      <c r="C19" s="4">
        <v>0</v>
      </c>
      <c r="D19" s="4">
        <v>0</v>
      </c>
      <c r="E19" s="4">
        <f aca="true" t="shared" si="1" ref="E19:F21">-C19</f>
        <v>0</v>
      </c>
      <c r="F19" s="4">
        <f t="shared" si="1"/>
        <v>0</v>
      </c>
      <c r="G19" s="4">
        <f>ROUND(SUM(C19:F19)/2,0)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5">
        <f t="shared" si="0"/>
        <v>6</v>
      </c>
      <c r="B20" s="8" t="s">
        <v>144</v>
      </c>
      <c r="C20" s="4">
        <v>0</v>
      </c>
      <c r="D20" s="4">
        <v>0</v>
      </c>
      <c r="E20" s="4">
        <f t="shared" si="1"/>
        <v>0</v>
      </c>
      <c r="F20" s="4">
        <f t="shared" si="1"/>
        <v>0</v>
      </c>
      <c r="G20" s="4">
        <f>ROUND(SUM(C20:F20)/2,0)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5">
        <f t="shared" si="0"/>
        <v>7</v>
      </c>
      <c r="B21" s="8" t="s">
        <v>143</v>
      </c>
      <c r="C21" s="4">
        <v>0</v>
      </c>
      <c r="D21" s="4">
        <v>0</v>
      </c>
      <c r="E21" s="4">
        <f t="shared" si="1"/>
        <v>0</v>
      </c>
      <c r="F21" s="4">
        <f t="shared" si="1"/>
        <v>0</v>
      </c>
      <c r="G21" s="4">
        <f>ROUND(SUM(C21:F21)/2,0)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5">
        <f t="shared" si="0"/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5" thickBot="1">
      <c r="A23" s="5">
        <f t="shared" si="0"/>
        <v>9</v>
      </c>
      <c r="B23" s="7" t="s">
        <v>142</v>
      </c>
      <c r="C23" s="6">
        <f>SUM(C17:C22)</f>
        <v>317728820.8</v>
      </c>
      <c r="D23" s="6">
        <f>SUM(D17:D22)</f>
        <v>308697316.9</v>
      </c>
      <c r="E23" s="6">
        <f>SUM(E17:E22)</f>
        <v>0</v>
      </c>
      <c r="F23" s="6">
        <f>SUM(F17:F22)</f>
        <v>0</v>
      </c>
      <c r="G23" s="6">
        <f>SUM(G17:G22)</f>
        <v>313213069</v>
      </c>
      <c r="H23" s="4"/>
      <c r="I23" s="6">
        <f>SUM(I17:I22)</f>
        <v>313213068.85</v>
      </c>
      <c r="J23" s="6">
        <f>SUM(J17:J22)</f>
        <v>0</v>
      </c>
      <c r="K23" s="6">
        <f>SUM(K17:K22)</f>
        <v>0</v>
      </c>
      <c r="L23" s="4"/>
      <c r="M23" s="6">
        <f>SUM(M17:M22)</f>
        <v>317728820.8</v>
      </c>
      <c r="N23" s="6">
        <f>SUM(N17:N22)</f>
        <v>0</v>
      </c>
      <c r="O23" s="6">
        <f>SUM(O17:O22)</f>
        <v>0</v>
      </c>
      <c r="P23" s="4"/>
      <c r="Q23" s="6">
        <f>SUM(Q17:Q22)</f>
        <v>308697316.9</v>
      </c>
      <c r="R23" s="6">
        <f>SUM(R17:R22)</f>
        <v>0</v>
      </c>
      <c r="S23" s="6">
        <f>SUM(S17:S22)</f>
        <v>0</v>
      </c>
    </row>
    <row r="24" spans="1:19" ht="13.5" thickTop="1">
      <c r="A24" s="5">
        <f t="shared" si="0"/>
        <v>10</v>
      </c>
      <c r="C24" s="3"/>
      <c r="D24" s="3"/>
      <c r="E24" s="3"/>
      <c r="F24" s="3"/>
      <c r="G24" s="3"/>
      <c r="H24" s="4"/>
      <c r="I24" s="3"/>
      <c r="J24" s="3"/>
      <c r="K24" s="3"/>
      <c r="L24" s="4"/>
      <c r="M24" s="3"/>
      <c r="N24" s="3"/>
      <c r="O24" s="3"/>
      <c r="P24" s="4"/>
      <c r="Q24" s="3"/>
      <c r="R24" s="3"/>
      <c r="S24" s="3"/>
    </row>
    <row r="25" spans="1:19" ht="12.75">
      <c r="A25" s="5">
        <f t="shared" si="0"/>
        <v>11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5">
        <f t="shared" si="0"/>
        <v>12</v>
      </c>
      <c r="B26" s="8" t="s">
        <v>141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5">
        <f t="shared" si="0"/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5">
        <f t="shared" si="0"/>
        <v>14</v>
      </c>
      <c r="B28" s="7" t="s">
        <v>140</v>
      </c>
      <c r="C28" s="4">
        <f aca="true" t="shared" si="2" ref="C28:C62">SUM(M28:O28)</f>
        <v>1227912026.4500003</v>
      </c>
      <c r="D28" s="4">
        <f aca="true" t="shared" si="3" ref="D28:D62">SUM(Q28:S28)</f>
        <v>1213926197.37</v>
      </c>
      <c r="E28" s="4"/>
      <c r="F28" s="4"/>
      <c r="G28" s="4">
        <f aca="true" t="shared" si="4" ref="G28:G65">ROUND(SUM(C28:F28)/2,0)</f>
        <v>1220919112</v>
      </c>
      <c r="H28" s="4"/>
      <c r="I28" s="4">
        <f aca="true" t="shared" si="5" ref="I28:I62">(M28+Q28)/2</f>
        <v>388948607.1</v>
      </c>
      <c r="J28" s="4">
        <f aca="true" t="shared" si="6" ref="J28:J62">(N28+R28)/2</f>
        <v>359129883.605</v>
      </c>
      <c r="K28" s="4">
        <f aca="true" t="shared" si="7" ref="K28:K62">(O28+S28)/2</f>
        <v>472840621.20500004</v>
      </c>
      <c r="L28" s="4"/>
      <c r="M28" s="14">
        <v>359079128.16</v>
      </c>
      <c r="N28" s="14">
        <v>381109421.38000005</v>
      </c>
      <c r="O28" s="14">
        <v>487723476.9100001</v>
      </c>
      <c r="P28" s="4"/>
      <c r="Q28" s="14">
        <v>418818086.03999996</v>
      </c>
      <c r="R28" s="14">
        <v>337150345.83</v>
      </c>
      <c r="S28" s="14">
        <v>457957765.50000006</v>
      </c>
    </row>
    <row r="29" spans="1:19" ht="12.75">
      <c r="A29" s="5">
        <f t="shared" si="0"/>
        <v>15</v>
      </c>
      <c r="B29" s="8" t="s">
        <v>139</v>
      </c>
      <c r="C29" s="4">
        <f t="shared" si="2"/>
        <v>0</v>
      </c>
      <c r="D29" s="4">
        <f t="shared" si="3"/>
        <v>0</v>
      </c>
      <c r="E29" s="4"/>
      <c r="F29" s="4"/>
      <c r="G29" s="4">
        <f t="shared" si="4"/>
        <v>0</v>
      </c>
      <c r="H29" s="4"/>
      <c r="I29" s="4">
        <f t="shared" si="5"/>
        <v>0</v>
      </c>
      <c r="J29" s="4">
        <f t="shared" si="6"/>
        <v>0</v>
      </c>
      <c r="K29" s="4">
        <f t="shared" si="7"/>
        <v>0</v>
      </c>
      <c r="L29" s="4"/>
      <c r="M29" s="14">
        <v>0</v>
      </c>
      <c r="N29" s="14">
        <v>0</v>
      </c>
      <c r="O29" s="14">
        <v>0</v>
      </c>
      <c r="P29" s="4"/>
      <c r="Q29" s="14">
        <v>0</v>
      </c>
      <c r="R29" s="14">
        <v>0</v>
      </c>
      <c r="S29" s="14">
        <v>0</v>
      </c>
    </row>
    <row r="30" spans="1:19" ht="12.75">
      <c r="A30" s="5">
        <f t="shared" si="0"/>
        <v>16</v>
      </c>
      <c r="B30" s="7" t="s">
        <v>138</v>
      </c>
      <c r="C30" s="4">
        <f t="shared" si="2"/>
        <v>1130454.47</v>
      </c>
      <c r="D30" s="4">
        <f t="shared" si="3"/>
        <v>1449902.97</v>
      </c>
      <c r="E30" s="4"/>
      <c r="F30" s="4"/>
      <c r="G30" s="4">
        <f t="shared" si="4"/>
        <v>1290179</v>
      </c>
      <c r="H30" s="4"/>
      <c r="I30" s="4">
        <f t="shared" si="5"/>
        <v>403771.52</v>
      </c>
      <c r="J30" s="4">
        <f t="shared" si="6"/>
        <v>544562.9</v>
      </c>
      <c r="K30" s="4">
        <f t="shared" si="7"/>
        <v>341844.3</v>
      </c>
      <c r="L30" s="4"/>
      <c r="M30" s="14">
        <v>353784.52</v>
      </c>
      <c r="N30" s="14">
        <v>477145.9</v>
      </c>
      <c r="O30" s="14">
        <v>299524.05</v>
      </c>
      <c r="P30" s="4"/>
      <c r="Q30" s="14">
        <v>453758.52</v>
      </c>
      <c r="R30" s="14">
        <v>611979.9</v>
      </c>
      <c r="S30" s="14">
        <v>384164.55</v>
      </c>
    </row>
    <row r="31" spans="1:19" ht="12.75">
      <c r="A31" s="5">
        <f t="shared" si="0"/>
        <v>17</v>
      </c>
      <c r="B31" s="7" t="s">
        <v>137</v>
      </c>
      <c r="C31" s="4">
        <f t="shared" si="2"/>
        <v>219826.25</v>
      </c>
      <c r="D31" s="4">
        <f t="shared" si="3"/>
        <v>281079.4</v>
      </c>
      <c r="E31" s="4"/>
      <c r="F31" s="4"/>
      <c r="G31" s="4">
        <f t="shared" si="4"/>
        <v>250453</v>
      </c>
      <c r="H31" s="4"/>
      <c r="I31" s="4">
        <f t="shared" si="5"/>
        <v>0</v>
      </c>
      <c r="J31" s="4">
        <f t="shared" si="6"/>
        <v>0</v>
      </c>
      <c r="K31" s="4">
        <f t="shared" si="7"/>
        <v>250452.825</v>
      </c>
      <c r="L31" s="4"/>
      <c r="M31" s="14">
        <v>0</v>
      </c>
      <c r="N31" s="14">
        <v>0</v>
      </c>
      <c r="O31" s="14">
        <v>219826.25</v>
      </c>
      <c r="P31" s="4"/>
      <c r="Q31" s="14">
        <v>0</v>
      </c>
      <c r="R31" s="14">
        <v>0</v>
      </c>
      <c r="S31" s="14">
        <v>281079.4</v>
      </c>
    </row>
    <row r="32" spans="1:19" ht="12.75">
      <c r="A32" s="5">
        <f t="shared" si="0"/>
        <v>18</v>
      </c>
      <c r="B32" s="7" t="s">
        <v>136</v>
      </c>
      <c r="C32" s="4">
        <f t="shared" si="2"/>
        <v>114472.11</v>
      </c>
      <c r="D32" s="4">
        <f t="shared" si="3"/>
        <v>166086.5</v>
      </c>
      <c r="E32" s="4"/>
      <c r="F32" s="4"/>
      <c r="G32" s="4">
        <f t="shared" si="4"/>
        <v>140279</v>
      </c>
      <c r="H32" s="4"/>
      <c r="I32" s="4">
        <f t="shared" si="5"/>
        <v>0</v>
      </c>
      <c r="J32" s="4">
        <f t="shared" si="6"/>
        <v>140279.305</v>
      </c>
      <c r="K32" s="4">
        <f t="shared" si="7"/>
        <v>0</v>
      </c>
      <c r="L32" s="4"/>
      <c r="M32" s="14">
        <v>0</v>
      </c>
      <c r="N32" s="14">
        <v>114472.11</v>
      </c>
      <c r="O32" s="14">
        <v>0</v>
      </c>
      <c r="P32" s="4"/>
      <c r="Q32" s="14">
        <v>0</v>
      </c>
      <c r="R32" s="14">
        <v>166086.5</v>
      </c>
      <c r="S32" s="14">
        <v>0</v>
      </c>
    </row>
    <row r="33" spans="1:19" ht="12.75">
      <c r="A33" s="5">
        <f t="shared" si="0"/>
        <v>19</v>
      </c>
      <c r="B33" s="7" t="s">
        <v>135</v>
      </c>
      <c r="C33" s="4">
        <f t="shared" si="2"/>
        <v>3574797.69</v>
      </c>
      <c r="D33" s="4">
        <f t="shared" si="3"/>
        <v>3537811.44</v>
      </c>
      <c r="E33" s="4"/>
      <c r="F33" s="4"/>
      <c r="G33" s="4">
        <f t="shared" si="4"/>
        <v>3556305</v>
      </c>
      <c r="H33" s="4"/>
      <c r="I33" s="4">
        <f t="shared" si="5"/>
        <v>3165478.115</v>
      </c>
      <c r="J33" s="4">
        <f t="shared" si="6"/>
        <v>54102.65</v>
      </c>
      <c r="K33" s="4">
        <f t="shared" si="7"/>
        <v>336723.8</v>
      </c>
      <c r="L33" s="4"/>
      <c r="M33" s="14">
        <v>3179522.74</v>
      </c>
      <c r="N33" s="14">
        <v>58551.15</v>
      </c>
      <c r="O33" s="14">
        <v>336723.8</v>
      </c>
      <c r="P33" s="4"/>
      <c r="Q33" s="14">
        <v>3151433.49</v>
      </c>
      <c r="R33" s="14">
        <v>49654.15</v>
      </c>
      <c r="S33" s="14">
        <v>336723.8</v>
      </c>
    </row>
    <row r="34" spans="1:19" ht="12.75">
      <c r="A34" s="5">
        <f t="shared" si="0"/>
        <v>20</v>
      </c>
      <c r="B34" s="7" t="s">
        <v>134</v>
      </c>
      <c r="C34" s="4">
        <f t="shared" si="2"/>
        <v>21477532.119999997</v>
      </c>
      <c r="D34" s="4">
        <f t="shared" si="3"/>
        <v>17402109.86</v>
      </c>
      <c r="E34" s="4"/>
      <c r="F34" s="4"/>
      <c r="G34" s="4">
        <f t="shared" si="4"/>
        <v>19439821</v>
      </c>
      <c r="H34" s="4"/>
      <c r="I34" s="4">
        <f t="shared" si="5"/>
        <v>19198222.295</v>
      </c>
      <c r="J34" s="4">
        <f t="shared" si="6"/>
        <v>-416.57</v>
      </c>
      <c r="K34" s="4">
        <f t="shared" si="7"/>
        <v>242015.265</v>
      </c>
      <c r="L34" s="4"/>
      <c r="M34" s="14">
        <v>21238405.34</v>
      </c>
      <c r="N34" s="14">
        <v>-447.44</v>
      </c>
      <c r="O34" s="14">
        <v>239574.22</v>
      </c>
      <c r="P34" s="4"/>
      <c r="Q34" s="14">
        <v>17158039.25</v>
      </c>
      <c r="R34" s="14">
        <v>-385.7</v>
      </c>
      <c r="S34" s="14">
        <v>244456.31</v>
      </c>
    </row>
    <row r="35" spans="1:19" ht="12.75">
      <c r="A35" s="5">
        <f t="shared" si="0"/>
        <v>21</v>
      </c>
      <c r="B35" s="7" t="s">
        <v>133</v>
      </c>
      <c r="C35" s="4">
        <f t="shared" si="2"/>
        <v>-2239124.99</v>
      </c>
      <c r="D35" s="4">
        <f t="shared" si="3"/>
        <v>-2239124.99</v>
      </c>
      <c r="E35" s="4"/>
      <c r="F35" s="4"/>
      <c r="G35" s="4">
        <f t="shared" si="4"/>
        <v>-2239125</v>
      </c>
      <c r="H35" s="4"/>
      <c r="I35" s="4">
        <f t="shared" si="5"/>
        <v>-2239124.99</v>
      </c>
      <c r="J35" s="4">
        <f t="shared" si="6"/>
        <v>0</v>
      </c>
      <c r="K35" s="4">
        <f t="shared" si="7"/>
        <v>0</v>
      </c>
      <c r="L35" s="4"/>
      <c r="M35" s="14">
        <v>-2239124.99</v>
      </c>
      <c r="N35" s="14">
        <v>0</v>
      </c>
      <c r="O35" s="14">
        <v>0</v>
      </c>
      <c r="P35" s="4"/>
      <c r="Q35" s="14">
        <v>-2239124.99</v>
      </c>
      <c r="R35" s="14">
        <v>0</v>
      </c>
      <c r="S35" s="14">
        <v>0</v>
      </c>
    </row>
    <row r="36" spans="1:19" ht="12.75">
      <c r="A36" s="5">
        <f t="shared" si="0"/>
        <v>22</v>
      </c>
      <c r="B36" s="7" t="s">
        <v>132</v>
      </c>
      <c r="C36" s="4">
        <f t="shared" si="2"/>
        <v>89751339.95</v>
      </c>
      <c r="D36" s="4">
        <f t="shared" si="3"/>
        <v>27524553.950000003</v>
      </c>
      <c r="E36" s="4"/>
      <c r="F36" s="4"/>
      <c r="G36" s="4">
        <f t="shared" si="4"/>
        <v>58637947</v>
      </c>
      <c r="H36" s="4"/>
      <c r="I36" s="4">
        <f t="shared" si="5"/>
        <v>58637946.95</v>
      </c>
      <c r="J36" s="4">
        <f t="shared" si="6"/>
        <v>0</v>
      </c>
      <c r="K36" s="4">
        <f t="shared" si="7"/>
        <v>0</v>
      </c>
      <c r="L36" s="4"/>
      <c r="M36" s="14">
        <v>89751339.95</v>
      </c>
      <c r="N36" s="14">
        <v>0</v>
      </c>
      <c r="O36" s="14">
        <v>0</v>
      </c>
      <c r="P36" s="4"/>
      <c r="Q36" s="14">
        <v>27524553.950000003</v>
      </c>
      <c r="R36" s="14">
        <v>0</v>
      </c>
      <c r="S36" s="14">
        <v>0</v>
      </c>
    </row>
    <row r="37" spans="1:19" ht="12.75">
      <c r="A37" s="5">
        <f t="shared" si="0"/>
        <v>23</v>
      </c>
      <c r="B37" s="7" t="s">
        <v>131</v>
      </c>
      <c r="C37" s="4">
        <f t="shared" si="2"/>
        <v>110780045.75</v>
      </c>
      <c r="D37" s="4">
        <f t="shared" si="3"/>
        <v>104011810.9</v>
      </c>
      <c r="E37" s="4"/>
      <c r="F37" s="4"/>
      <c r="G37" s="4">
        <f t="shared" si="4"/>
        <v>107395928</v>
      </c>
      <c r="H37" s="4"/>
      <c r="I37" s="4">
        <f t="shared" si="5"/>
        <v>43700248.55</v>
      </c>
      <c r="J37" s="4">
        <f t="shared" si="6"/>
        <v>8520287.100000001</v>
      </c>
      <c r="K37" s="4">
        <f t="shared" si="7"/>
        <v>55175392.675</v>
      </c>
      <c r="L37" s="4"/>
      <c r="M37" s="14">
        <v>46131415.6</v>
      </c>
      <c r="N37" s="14">
        <v>8580615.3</v>
      </c>
      <c r="O37" s="14">
        <v>56068014.849999994</v>
      </c>
      <c r="P37" s="4"/>
      <c r="Q37" s="14">
        <v>41269081.5</v>
      </c>
      <c r="R37" s="14">
        <v>8459958.9</v>
      </c>
      <c r="S37" s="14">
        <v>54282770.5</v>
      </c>
    </row>
    <row r="38" spans="1:19" ht="12.75">
      <c r="A38" s="5">
        <f t="shared" si="0"/>
        <v>24</v>
      </c>
      <c r="B38" s="7" t="s">
        <v>130</v>
      </c>
      <c r="C38" s="4">
        <f t="shared" si="2"/>
        <v>-19990462.39</v>
      </c>
      <c r="D38" s="4">
        <f t="shared" si="3"/>
        <v>-10516419.49</v>
      </c>
      <c r="E38" s="4"/>
      <c r="F38" s="4"/>
      <c r="G38" s="4">
        <f t="shared" si="4"/>
        <v>-15253441</v>
      </c>
      <c r="H38" s="4"/>
      <c r="I38" s="4">
        <f t="shared" si="5"/>
        <v>-15253440.940000001</v>
      </c>
      <c r="J38" s="4">
        <f t="shared" si="6"/>
        <v>0</v>
      </c>
      <c r="K38" s="4">
        <f t="shared" si="7"/>
        <v>0</v>
      </c>
      <c r="L38" s="4"/>
      <c r="M38" s="14">
        <v>-19990462.39</v>
      </c>
      <c r="N38" s="14">
        <v>0</v>
      </c>
      <c r="O38" s="14">
        <v>0</v>
      </c>
      <c r="P38" s="4"/>
      <c r="Q38" s="14">
        <v>-10516419.49</v>
      </c>
      <c r="R38" s="14">
        <v>0</v>
      </c>
      <c r="S38" s="14">
        <v>0</v>
      </c>
    </row>
    <row r="39" spans="1:19" ht="12.75">
      <c r="A39" s="5">
        <f t="shared" si="0"/>
        <v>25</v>
      </c>
      <c r="B39" s="7" t="s">
        <v>129</v>
      </c>
      <c r="C39" s="4">
        <f t="shared" si="2"/>
        <v>1259792.42</v>
      </c>
      <c r="D39" s="4">
        <f t="shared" si="3"/>
        <v>1288316.45</v>
      </c>
      <c r="E39" s="4"/>
      <c r="F39" s="4"/>
      <c r="G39" s="4">
        <f t="shared" si="4"/>
        <v>1274054</v>
      </c>
      <c r="H39" s="4"/>
      <c r="I39" s="4">
        <f t="shared" si="5"/>
        <v>1272648.435</v>
      </c>
      <c r="J39" s="4">
        <f t="shared" si="6"/>
        <v>524</v>
      </c>
      <c r="K39" s="4">
        <f t="shared" si="7"/>
        <v>882</v>
      </c>
      <c r="L39" s="4"/>
      <c r="M39" s="14">
        <v>1259020.42</v>
      </c>
      <c r="N39" s="14">
        <v>287</v>
      </c>
      <c r="O39" s="14">
        <v>485</v>
      </c>
      <c r="P39" s="4"/>
      <c r="Q39" s="14">
        <v>1286276.45</v>
      </c>
      <c r="R39" s="14">
        <v>761</v>
      </c>
      <c r="S39" s="14">
        <v>1279</v>
      </c>
    </row>
    <row r="40" spans="1:19" ht="12.75">
      <c r="A40" s="5">
        <f t="shared" si="0"/>
        <v>26</v>
      </c>
      <c r="B40" s="7" t="s">
        <v>128</v>
      </c>
      <c r="C40" s="4">
        <f t="shared" si="2"/>
        <v>1420547.7000000002</v>
      </c>
      <c r="D40" s="4">
        <f t="shared" si="3"/>
        <v>1202361.83</v>
      </c>
      <c r="E40" s="4"/>
      <c r="F40" s="4"/>
      <c r="G40" s="4">
        <f t="shared" si="4"/>
        <v>1311455</v>
      </c>
      <c r="H40" s="4"/>
      <c r="I40" s="4">
        <f t="shared" si="5"/>
        <v>0</v>
      </c>
      <c r="J40" s="4">
        <f t="shared" si="6"/>
        <v>1311454.7650000001</v>
      </c>
      <c r="K40" s="4">
        <f t="shared" si="7"/>
        <v>0</v>
      </c>
      <c r="L40" s="4"/>
      <c r="M40" s="14">
        <v>0</v>
      </c>
      <c r="N40" s="14">
        <v>1420547.7000000002</v>
      </c>
      <c r="O40" s="14">
        <v>0</v>
      </c>
      <c r="P40" s="4"/>
      <c r="Q40" s="14">
        <v>0</v>
      </c>
      <c r="R40" s="14">
        <v>1202361.83</v>
      </c>
      <c r="S40" s="14">
        <v>0</v>
      </c>
    </row>
    <row r="41" spans="1:19" ht="12.75">
      <c r="A41" s="5">
        <f t="shared" si="0"/>
        <v>27</v>
      </c>
      <c r="B41" s="7" t="s">
        <v>127</v>
      </c>
      <c r="C41" s="4">
        <f t="shared" si="2"/>
        <v>17432</v>
      </c>
      <c r="D41" s="4">
        <f t="shared" si="3"/>
        <v>19553</v>
      </c>
      <c r="E41" s="4"/>
      <c r="F41" s="4"/>
      <c r="G41" s="4">
        <f t="shared" si="4"/>
        <v>18493</v>
      </c>
      <c r="H41" s="4"/>
      <c r="I41" s="4">
        <f t="shared" si="5"/>
        <v>0</v>
      </c>
      <c r="J41" s="4">
        <f t="shared" si="6"/>
        <v>6682</v>
      </c>
      <c r="K41" s="4">
        <f t="shared" si="7"/>
        <v>11810.5</v>
      </c>
      <c r="L41" s="4"/>
      <c r="M41" s="14">
        <v>0</v>
      </c>
      <c r="N41" s="14">
        <v>6292</v>
      </c>
      <c r="O41" s="14">
        <v>11140</v>
      </c>
      <c r="P41" s="4"/>
      <c r="Q41" s="14">
        <v>0</v>
      </c>
      <c r="R41" s="14">
        <v>7072</v>
      </c>
      <c r="S41" s="14">
        <v>12481</v>
      </c>
    </row>
    <row r="42" spans="1:19" ht="12.75">
      <c r="A42" s="5">
        <f t="shared" si="0"/>
        <v>28</v>
      </c>
      <c r="B42" s="7" t="s">
        <v>126</v>
      </c>
      <c r="C42" s="4">
        <f t="shared" si="2"/>
        <v>3635.6099999999997</v>
      </c>
      <c r="D42" s="4">
        <f t="shared" si="3"/>
        <v>3237.5600000000004</v>
      </c>
      <c r="E42" s="4"/>
      <c r="F42" s="4"/>
      <c r="G42" s="4">
        <f t="shared" si="4"/>
        <v>3437</v>
      </c>
      <c r="H42" s="4"/>
      <c r="I42" s="4">
        <f t="shared" si="5"/>
        <v>0</v>
      </c>
      <c r="J42" s="4">
        <f t="shared" si="6"/>
        <v>0</v>
      </c>
      <c r="K42" s="4">
        <f t="shared" si="7"/>
        <v>3436.585</v>
      </c>
      <c r="L42" s="4"/>
      <c r="M42" s="14">
        <v>0</v>
      </c>
      <c r="N42" s="14">
        <v>0</v>
      </c>
      <c r="O42" s="14">
        <v>3635.6099999999997</v>
      </c>
      <c r="P42" s="4"/>
      <c r="Q42" s="14">
        <v>0</v>
      </c>
      <c r="R42" s="14">
        <v>0</v>
      </c>
      <c r="S42" s="14">
        <v>3237.5600000000004</v>
      </c>
    </row>
    <row r="43" spans="1:19" ht="12.75">
      <c r="A43" s="5">
        <f t="shared" si="0"/>
        <v>29</v>
      </c>
      <c r="B43" s="7" t="s">
        <v>125</v>
      </c>
      <c r="C43" s="4">
        <f t="shared" si="2"/>
        <v>3056</v>
      </c>
      <c r="D43" s="4">
        <f t="shared" si="3"/>
        <v>12104</v>
      </c>
      <c r="E43" s="4"/>
      <c r="F43" s="4"/>
      <c r="G43" s="4">
        <f t="shared" si="4"/>
        <v>7580</v>
      </c>
      <c r="H43" s="4"/>
      <c r="I43" s="4">
        <f t="shared" si="5"/>
        <v>0</v>
      </c>
      <c r="J43" s="4">
        <f t="shared" si="6"/>
        <v>2831.5</v>
      </c>
      <c r="K43" s="4">
        <f t="shared" si="7"/>
        <v>4748.5</v>
      </c>
      <c r="L43" s="4"/>
      <c r="M43" s="14">
        <v>0</v>
      </c>
      <c r="N43" s="14">
        <v>1141</v>
      </c>
      <c r="O43" s="14">
        <v>1915</v>
      </c>
      <c r="P43" s="4"/>
      <c r="Q43" s="14">
        <v>0</v>
      </c>
      <c r="R43" s="14">
        <v>4522</v>
      </c>
      <c r="S43" s="14">
        <v>7582</v>
      </c>
    </row>
    <row r="44" spans="1:19" ht="12.75">
      <c r="A44" s="5">
        <f t="shared" si="0"/>
        <v>30</v>
      </c>
      <c r="B44" s="7" t="s">
        <v>124</v>
      </c>
      <c r="C44" s="4">
        <f t="shared" si="2"/>
        <v>-231</v>
      </c>
      <c r="D44" s="4">
        <f t="shared" si="3"/>
        <v>-196</v>
      </c>
      <c r="E44" s="4"/>
      <c r="F44" s="4"/>
      <c r="G44" s="4">
        <f t="shared" si="4"/>
        <v>-214</v>
      </c>
      <c r="H44" s="4"/>
      <c r="I44" s="4">
        <f t="shared" si="5"/>
        <v>0</v>
      </c>
      <c r="J44" s="4">
        <f t="shared" si="6"/>
        <v>-79.5</v>
      </c>
      <c r="K44" s="4">
        <f t="shared" si="7"/>
        <v>-134</v>
      </c>
      <c r="L44" s="4"/>
      <c r="M44" s="14">
        <v>0</v>
      </c>
      <c r="N44" s="14">
        <v>-86</v>
      </c>
      <c r="O44" s="14">
        <v>-145</v>
      </c>
      <c r="P44" s="4"/>
      <c r="Q44" s="14">
        <v>0</v>
      </c>
      <c r="R44" s="14">
        <v>-73</v>
      </c>
      <c r="S44" s="14">
        <v>-123</v>
      </c>
    </row>
    <row r="45" spans="1:19" ht="12.75">
      <c r="A45" s="5">
        <f t="shared" si="0"/>
        <v>31</v>
      </c>
      <c r="B45" s="7" t="s">
        <v>123</v>
      </c>
      <c r="C45" s="4">
        <f t="shared" si="2"/>
        <v>-70199.35</v>
      </c>
      <c r="D45" s="4">
        <f t="shared" si="3"/>
        <v>-70199.35</v>
      </c>
      <c r="E45" s="4"/>
      <c r="F45" s="4"/>
      <c r="G45" s="4">
        <f t="shared" si="4"/>
        <v>-70199</v>
      </c>
      <c r="H45" s="4"/>
      <c r="I45" s="4">
        <f t="shared" si="5"/>
        <v>-65939.45</v>
      </c>
      <c r="J45" s="4">
        <f t="shared" si="6"/>
        <v>-2021.55</v>
      </c>
      <c r="K45" s="4">
        <f t="shared" si="7"/>
        <v>-2238.35</v>
      </c>
      <c r="L45" s="4"/>
      <c r="M45" s="14">
        <v>-65939.45</v>
      </c>
      <c r="N45" s="14">
        <v>-2021.55</v>
      </c>
      <c r="O45" s="14">
        <v>-2238.35</v>
      </c>
      <c r="P45" s="4"/>
      <c r="Q45" s="14">
        <v>-65939.45</v>
      </c>
      <c r="R45" s="14">
        <v>-2021.55</v>
      </c>
      <c r="S45" s="14">
        <v>-2238.35</v>
      </c>
    </row>
    <row r="46" spans="1:19" ht="12.75">
      <c r="A46" s="5">
        <f t="shared" si="0"/>
        <v>32</v>
      </c>
      <c r="B46" s="7" t="s">
        <v>122</v>
      </c>
      <c r="C46" s="4">
        <f t="shared" si="2"/>
        <v>837</v>
      </c>
      <c r="D46" s="4">
        <f t="shared" si="3"/>
        <v>3294</v>
      </c>
      <c r="E46" s="4"/>
      <c r="F46" s="4"/>
      <c r="G46" s="4">
        <f t="shared" si="4"/>
        <v>2066</v>
      </c>
      <c r="H46" s="4"/>
      <c r="I46" s="4">
        <f t="shared" si="5"/>
        <v>0</v>
      </c>
      <c r="J46" s="4">
        <f t="shared" si="6"/>
        <v>772.5</v>
      </c>
      <c r="K46" s="4">
        <f t="shared" si="7"/>
        <v>1293</v>
      </c>
      <c r="L46" s="4"/>
      <c r="M46" s="14">
        <v>0</v>
      </c>
      <c r="N46" s="14">
        <v>313</v>
      </c>
      <c r="O46" s="14">
        <v>524</v>
      </c>
      <c r="P46" s="4"/>
      <c r="Q46" s="14">
        <v>0</v>
      </c>
      <c r="R46" s="14">
        <v>1232</v>
      </c>
      <c r="S46" s="14">
        <v>2062</v>
      </c>
    </row>
    <row r="47" spans="1:19" ht="12.75">
      <c r="A47" s="5">
        <f t="shared" si="0"/>
        <v>33</v>
      </c>
      <c r="B47" s="7" t="s">
        <v>121</v>
      </c>
      <c r="C47" s="4">
        <f t="shared" si="2"/>
        <v>19023200.02</v>
      </c>
      <c r="D47" s="4">
        <f t="shared" si="3"/>
        <v>20248086.02</v>
      </c>
      <c r="E47" s="4"/>
      <c r="F47" s="4"/>
      <c r="G47" s="4">
        <f t="shared" si="4"/>
        <v>19635643</v>
      </c>
      <c r="H47" s="4"/>
      <c r="I47" s="4">
        <f t="shared" si="5"/>
        <v>13098195.309999999</v>
      </c>
      <c r="J47" s="4">
        <f t="shared" si="6"/>
        <v>2189988.91</v>
      </c>
      <c r="K47" s="4">
        <f t="shared" si="7"/>
        <v>4347458.800000001</v>
      </c>
      <c r="L47" s="4"/>
      <c r="M47" s="14">
        <v>12768509.309999999</v>
      </c>
      <c r="N47" s="14">
        <v>2093994.9100000001</v>
      </c>
      <c r="O47" s="14">
        <v>4160695.8000000007</v>
      </c>
      <c r="P47" s="4"/>
      <c r="Q47" s="14">
        <v>13427881.309999999</v>
      </c>
      <c r="R47" s="14">
        <v>2285982.91</v>
      </c>
      <c r="S47" s="14">
        <v>4534221.800000001</v>
      </c>
    </row>
    <row r="48" spans="1:19" ht="12.75">
      <c r="A48" s="5">
        <f aca="true" t="shared" si="8" ref="A48:A79">A47+1</f>
        <v>34</v>
      </c>
      <c r="B48" s="7" t="s">
        <v>120</v>
      </c>
      <c r="C48" s="4">
        <f t="shared" si="2"/>
        <v>125459970.9</v>
      </c>
      <c r="D48" s="4">
        <f t="shared" si="3"/>
        <v>104703396.35</v>
      </c>
      <c r="E48" s="4"/>
      <c r="F48" s="4"/>
      <c r="G48" s="4">
        <f t="shared" si="4"/>
        <v>115081684</v>
      </c>
      <c r="H48" s="4"/>
      <c r="I48" s="4">
        <f t="shared" si="5"/>
        <v>115081683.625</v>
      </c>
      <c r="J48" s="4">
        <f t="shared" si="6"/>
        <v>0</v>
      </c>
      <c r="K48" s="4">
        <f t="shared" si="7"/>
        <v>0</v>
      </c>
      <c r="L48" s="4"/>
      <c r="M48" s="14">
        <v>125459970.9</v>
      </c>
      <c r="N48" s="14">
        <v>0</v>
      </c>
      <c r="O48" s="14">
        <v>0</v>
      </c>
      <c r="P48" s="4"/>
      <c r="Q48" s="14">
        <v>104703396.35</v>
      </c>
      <c r="R48" s="14">
        <v>0</v>
      </c>
      <c r="S48" s="14">
        <v>0</v>
      </c>
    </row>
    <row r="49" spans="1:19" ht="12.75">
      <c r="A49" s="5">
        <f t="shared" si="8"/>
        <v>35</v>
      </c>
      <c r="B49" s="7" t="s">
        <v>119</v>
      </c>
      <c r="C49" s="4">
        <f t="shared" si="2"/>
        <v>60044175.35</v>
      </c>
      <c r="D49" s="4">
        <f t="shared" si="3"/>
        <v>85008571.9</v>
      </c>
      <c r="E49" s="4"/>
      <c r="F49" s="4"/>
      <c r="G49" s="4">
        <f t="shared" si="4"/>
        <v>72526374</v>
      </c>
      <c r="H49" s="4"/>
      <c r="I49" s="4">
        <f t="shared" si="5"/>
        <v>72526373.625</v>
      </c>
      <c r="J49" s="4">
        <f t="shared" si="6"/>
        <v>0</v>
      </c>
      <c r="K49" s="4">
        <f t="shared" si="7"/>
        <v>0</v>
      </c>
      <c r="L49" s="4"/>
      <c r="M49" s="14">
        <v>60044175.35</v>
      </c>
      <c r="N49" s="14">
        <v>0</v>
      </c>
      <c r="O49" s="14">
        <v>0</v>
      </c>
      <c r="P49" s="4"/>
      <c r="Q49" s="14">
        <v>85008571.9</v>
      </c>
      <c r="R49" s="14">
        <v>0</v>
      </c>
      <c r="S49" s="14">
        <v>0</v>
      </c>
    </row>
    <row r="50" spans="1:19" ht="12.75">
      <c r="A50" s="5">
        <f t="shared" si="8"/>
        <v>36</v>
      </c>
      <c r="B50" s="7" t="s">
        <v>118</v>
      </c>
      <c r="C50" s="4">
        <f t="shared" si="2"/>
        <v>3932074.0500000003</v>
      </c>
      <c r="D50" s="4">
        <f t="shared" si="3"/>
        <v>3722963.55</v>
      </c>
      <c r="E50" s="4"/>
      <c r="F50" s="4"/>
      <c r="G50" s="4">
        <f t="shared" si="4"/>
        <v>3827519</v>
      </c>
      <c r="H50" s="4"/>
      <c r="I50" s="4">
        <f t="shared" si="5"/>
        <v>0</v>
      </c>
      <c r="J50" s="4">
        <f t="shared" si="6"/>
        <v>390305.57499999995</v>
      </c>
      <c r="K50" s="4">
        <f t="shared" si="7"/>
        <v>3437213.225</v>
      </c>
      <c r="L50" s="4"/>
      <c r="M50" s="14">
        <v>0</v>
      </c>
      <c r="N50" s="14">
        <v>417455.1</v>
      </c>
      <c r="O50" s="14">
        <v>3514618.95</v>
      </c>
      <c r="P50" s="4"/>
      <c r="Q50" s="14">
        <v>0</v>
      </c>
      <c r="R50" s="14">
        <v>363156.05</v>
      </c>
      <c r="S50" s="14">
        <v>3359807.5</v>
      </c>
    </row>
    <row r="51" spans="1:19" ht="12.75">
      <c r="A51" s="5">
        <f t="shared" si="8"/>
        <v>37</v>
      </c>
      <c r="B51" s="7" t="s">
        <v>117</v>
      </c>
      <c r="C51" s="4">
        <f t="shared" si="2"/>
        <v>44734.21</v>
      </c>
      <c r="D51" s="4">
        <f t="shared" si="3"/>
        <v>53255</v>
      </c>
      <c r="E51" s="4"/>
      <c r="F51" s="4"/>
      <c r="G51" s="4">
        <f t="shared" si="4"/>
        <v>48995</v>
      </c>
      <c r="H51" s="4"/>
      <c r="I51" s="4">
        <f t="shared" si="5"/>
        <v>0</v>
      </c>
      <c r="J51" s="4">
        <f t="shared" si="6"/>
        <v>0</v>
      </c>
      <c r="K51" s="4">
        <f t="shared" si="7"/>
        <v>48994.604999999996</v>
      </c>
      <c r="L51" s="4"/>
      <c r="M51" s="14">
        <v>0</v>
      </c>
      <c r="N51" s="14">
        <v>0</v>
      </c>
      <c r="O51" s="14">
        <v>44734.21</v>
      </c>
      <c r="P51" s="4"/>
      <c r="Q51" s="14">
        <v>0</v>
      </c>
      <c r="R51" s="14">
        <v>0</v>
      </c>
      <c r="S51" s="14">
        <v>53255</v>
      </c>
    </row>
    <row r="52" spans="1:19" ht="12.75">
      <c r="A52" s="5">
        <f t="shared" si="8"/>
        <v>38</v>
      </c>
      <c r="B52" s="7" t="s">
        <v>116</v>
      </c>
      <c r="C52" s="4">
        <f t="shared" si="2"/>
        <v>0</v>
      </c>
      <c r="D52" s="4">
        <f t="shared" si="3"/>
        <v>0</v>
      </c>
      <c r="E52" s="4"/>
      <c r="F52" s="4"/>
      <c r="G52" s="4">
        <f t="shared" si="4"/>
        <v>0</v>
      </c>
      <c r="H52" s="4"/>
      <c r="I52" s="4">
        <f t="shared" si="5"/>
        <v>0</v>
      </c>
      <c r="J52" s="4">
        <f t="shared" si="6"/>
        <v>0</v>
      </c>
      <c r="K52" s="4">
        <f t="shared" si="7"/>
        <v>0</v>
      </c>
      <c r="L52" s="4"/>
      <c r="M52" s="14">
        <v>0</v>
      </c>
      <c r="N52" s="14">
        <v>0</v>
      </c>
      <c r="O52" s="14">
        <v>0</v>
      </c>
      <c r="P52" s="4"/>
      <c r="Q52" s="14">
        <v>0</v>
      </c>
      <c r="R52" s="14">
        <v>0</v>
      </c>
      <c r="S52" s="14">
        <v>0</v>
      </c>
    </row>
    <row r="53" spans="1:19" ht="12.75">
      <c r="A53" s="5">
        <f t="shared" si="8"/>
        <v>39</v>
      </c>
      <c r="B53" s="7" t="s">
        <v>115</v>
      </c>
      <c r="C53" s="4">
        <f t="shared" si="2"/>
        <v>-13749132.6</v>
      </c>
      <c r="D53" s="4">
        <f t="shared" si="3"/>
        <v>-13749132.6</v>
      </c>
      <c r="E53" s="4"/>
      <c r="F53" s="4"/>
      <c r="G53" s="4">
        <f t="shared" si="4"/>
        <v>-13749133</v>
      </c>
      <c r="H53" s="4"/>
      <c r="I53" s="4">
        <f t="shared" si="5"/>
        <v>-13749132.6</v>
      </c>
      <c r="J53" s="4">
        <f t="shared" si="6"/>
        <v>0</v>
      </c>
      <c r="K53" s="4">
        <f t="shared" si="7"/>
        <v>0</v>
      </c>
      <c r="L53" s="4"/>
      <c r="M53" s="14">
        <v>-13749132.6</v>
      </c>
      <c r="N53" s="14">
        <v>0</v>
      </c>
      <c r="O53" s="14">
        <v>0</v>
      </c>
      <c r="P53" s="4"/>
      <c r="Q53" s="14">
        <v>-13749132.6</v>
      </c>
      <c r="R53" s="14">
        <v>0</v>
      </c>
      <c r="S53" s="14">
        <v>0</v>
      </c>
    </row>
    <row r="54" spans="1:19" ht="12.75">
      <c r="A54" s="5">
        <f t="shared" si="8"/>
        <v>40</v>
      </c>
      <c r="B54" s="7" t="s">
        <v>114</v>
      </c>
      <c r="C54" s="4">
        <f t="shared" si="2"/>
        <v>0</v>
      </c>
      <c r="D54" s="4">
        <f t="shared" si="3"/>
        <v>0</v>
      </c>
      <c r="E54" s="4"/>
      <c r="F54" s="4"/>
      <c r="G54" s="4">
        <f t="shared" si="4"/>
        <v>0</v>
      </c>
      <c r="H54" s="4"/>
      <c r="I54" s="4">
        <f t="shared" si="5"/>
        <v>0</v>
      </c>
      <c r="J54" s="4">
        <f t="shared" si="6"/>
        <v>0</v>
      </c>
      <c r="K54" s="4">
        <f t="shared" si="7"/>
        <v>0</v>
      </c>
      <c r="L54" s="4"/>
      <c r="M54" s="14">
        <v>0</v>
      </c>
      <c r="N54" s="14">
        <v>0</v>
      </c>
      <c r="O54" s="14">
        <v>0</v>
      </c>
      <c r="P54" s="4"/>
      <c r="Q54" s="14">
        <v>0</v>
      </c>
      <c r="R54" s="14">
        <v>0</v>
      </c>
      <c r="S54" s="14">
        <v>0</v>
      </c>
    </row>
    <row r="55" spans="1:19" ht="12.75">
      <c r="A55" s="5">
        <f t="shared" si="8"/>
        <v>41</v>
      </c>
      <c r="B55" s="7" t="s">
        <v>113</v>
      </c>
      <c r="C55" s="4">
        <f t="shared" si="2"/>
        <v>0</v>
      </c>
      <c r="D55" s="4">
        <f t="shared" si="3"/>
        <v>0</v>
      </c>
      <c r="E55" s="4"/>
      <c r="F55" s="4"/>
      <c r="G55" s="4">
        <f t="shared" si="4"/>
        <v>0</v>
      </c>
      <c r="H55" s="4"/>
      <c r="I55" s="4">
        <f t="shared" si="5"/>
        <v>0</v>
      </c>
      <c r="J55" s="4">
        <f t="shared" si="6"/>
        <v>0</v>
      </c>
      <c r="K55" s="4">
        <f t="shared" si="7"/>
        <v>0</v>
      </c>
      <c r="L55" s="4"/>
      <c r="M55" s="14">
        <v>0</v>
      </c>
      <c r="N55" s="14">
        <v>0</v>
      </c>
      <c r="O55" s="14">
        <v>0</v>
      </c>
      <c r="P55" s="4"/>
      <c r="Q55" s="14">
        <v>0</v>
      </c>
      <c r="R55" s="14">
        <v>0</v>
      </c>
      <c r="S55" s="14">
        <v>0</v>
      </c>
    </row>
    <row r="56" spans="1:19" ht="12.75">
      <c r="A56" s="5">
        <f t="shared" si="8"/>
        <v>42</v>
      </c>
      <c r="B56" s="7" t="s">
        <v>112</v>
      </c>
      <c r="C56" s="4">
        <f t="shared" si="2"/>
        <v>1089</v>
      </c>
      <c r="D56" s="4">
        <f t="shared" si="3"/>
        <v>12008</v>
      </c>
      <c r="E56" s="4"/>
      <c r="F56" s="4"/>
      <c r="G56" s="4">
        <f t="shared" si="4"/>
        <v>6549</v>
      </c>
      <c r="H56" s="4"/>
      <c r="I56" s="4">
        <f t="shared" si="5"/>
        <v>0</v>
      </c>
      <c r="J56" s="4">
        <f t="shared" si="6"/>
        <v>2446.5</v>
      </c>
      <c r="K56" s="4">
        <f t="shared" si="7"/>
        <v>4102</v>
      </c>
      <c r="L56" s="4"/>
      <c r="M56" s="14">
        <v>0</v>
      </c>
      <c r="N56" s="14">
        <v>407</v>
      </c>
      <c r="O56" s="14">
        <v>682</v>
      </c>
      <c r="P56" s="4"/>
      <c r="Q56" s="14">
        <v>0</v>
      </c>
      <c r="R56" s="14">
        <v>4486</v>
      </c>
      <c r="S56" s="14">
        <v>7522</v>
      </c>
    </row>
    <row r="57" spans="1:19" ht="12.75">
      <c r="A57" s="5">
        <f t="shared" si="8"/>
        <v>43</v>
      </c>
      <c r="B57" s="7" t="s">
        <v>111</v>
      </c>
      <c r="C57" s="4">
        <f t="shared" si="2"/>
        <v>1867691</v>
      </c>
      <c r="D57" s="4">
        <f t="shared" si="3"/>
        <v>1974417</v>
      </c>
      <c r="E57" s="4"/>
      <c r="F57" s="4"/>
      <c r="G57" s="4">
        <f t="shared" si="4"/>
        <v>1921054</v>
      </c>
      <c r="H57" s="4"/>
      <c r="I57" s="4">
        <f t="shared" si="5"/>
        <v>1921054</v>
      </c>
      <c r="J57" s="4">
        <f t="shared" si="6"/>
        <v>0</v>
      </c>
      <c r="K57" s="4">
        <f t="shared" si="7"/>
        <v>0</v>
      </c>
      <c r="L57" s="4"/>
      <c r="M57" s="14">
        <v>1867691</v>
      </c>
      <c r="N57" s="14">
        <v>0</v>
      </c>
      <c r="O57" s="14">
        <v>0</v>
      </c>
      <c r="P57" s="4"/>
      <c r="Q57" s="14">
        <v>1974417</v>
      </c>
      <c r="R57" s="14">
        <v>0</v>
      </c>
      <c r="S57" s="14">
        <v>0</v>
      </c>
    </row>
    <row r="58" spans="1:19" ht="12.75">
      <c r="A58" s="5">
        <f t="shared" si="8"/>
        <v>44</v>
      </c>
      <c r="B58" s="7" t="s">
        <v>110</v>
      </c>
      <c r="C58" s="4">
        <f t="shared" si="2"/>
        <v>-64317.49</v>
      </c>
      <c r="D58" s="4">
        <f t="shared" si="3"/>
        <v>-64317.49</v>
      </c>
      <c r="E58" s="4"/>
      <c r="F58" s="4"/>
      <c r="G58" s="4">
        <f t="shared" si="4"/>
        <v>-64317</v>
      </c>
      <c r="H58" s="4"/>
      <c r="I58" s="4">
        <f t="shared" si="5"/>
        <v>-64317.49</v>
      </c>
      <c r="J58" s="4">
        <f t="shared" si="6"/>
        <v>0</v>
      </c>
      <c r="K58" s="4">
        <f t="shared" si="7"/>
        <v>0</v>
      </c>
      <c r="L58" s="4"/>
      <c r="M58" s="14">
        <v>-64317.49</v>
      </c>
      <c r="N58" s="14">
        <v>0</v>
      </c>
      <c r="O58" s="14">
        <v>0</v>
      </c>
      <c r="P58" s="4"/>
      <c r="Q58" s="14">
        <v>-64317.49</v>
      </c>
      <c r="R58" s="14">
        <v>0</v>
      </c>
      <c r="S58" s="14">
        <v>0</v>
      </c>
    </row>
    <row r="59" spans="1:19" ht="12.75">
      <c r="A59" s="5">
        <f t="shared" si="8"/>
        <v>45</v>
      </c>
      <c r="B59" s="7" t="s">
        <v>109</v>
      </c>
      <c r="C59" s="4">
        <f t="shared" si="2"/>
        <v>-798375.82</v>
      </c>
      <c r="D59" s="4">
        <f t="shared" si="3"/>
        <v>9120948.18</v>
      </c>
      <c r="E59" s="4"/>
      <c r="F59" s="4"/>
      <c r="G59" s="4">
        <f t="shared" si="4"/>
        <v>4161286</v>
      </c>
      <c r="H59" s="4"/>
      <c r="I59" s="4">
        <f t="shared" si="5"/>
        <v>4161286.1799999997</v>
      </c>
      <c r="J59" s="4">
        <f t="shared" si="6"/>
        <v>0</v>
      </c>
      <c r="K59" s="4">
        <f t="shared" si="7"/>
        <v>0</v>
      </c>
      <c r="L59" s="4"/>
      <c r="M59" s="14">
        <v>-798375.82</v>
      </c>
      <c r="N59" s="14">
        <v>0</v>
      </c>
      <c r="O59" s="14">
        <v>0</v>
      </c>
      <c r="P59" s="4"/>
      <c r="Q59" s="14">
        <v>9120948.18</v>
      </c>
      <c r="R59" s="14">
        <v>0</v>
      </c>
      <c r="S59" s="14">
        <v>0</v>
      </c>
    </row>
    <row r="60" spans="1:19" ht="12.75">
      <c r="A60" s="5">
        <f t="shared" si="8"/>
        <v>46</v>
      </c>
      <c r="B60" s="7" t="s">
        <v>108</v>
      </c>
      <c r="C60" s="4">
        <f t="shared" si="2"/>
        <v>-316318.7</v>
      </c>
      <c r="D60" s="4">
        <f t="shared" si="3"/>
        <v>-316318.7</v>
      </c>
      <c r="E60" s="4"/>
      <c r="F60" s="4"/>
      <c r="G60" s="4">
        <f t="shared" si="4"/>
        <v>-316319</v>
      </c>
      <c r="H60" s="4"/>
      <c r="I60" s="4">
        <f t="shared" si="5"/>
        <v>-316318.7</v>
      </c>
      <c r="J60" s="4">
        <f t="shared" si="6"/>
        <v>0</v>
      </c>
      <c r="K60" s="4">
        <f t="shared" si="7"/>
        <v>0</v>
      </c>
      <c r="L60" s="4"/>
      <c r="M60" s="14">
        <v>-316318.7</v>
      </c>
      <c r="N60" s="14">
        <v>0</v>
      </c>
      <c r="O60" s="14">
        <v>0</v>
      </c>
      <c r="P60" s="4"/>
      <c r="Q60" s="14">
        <v>-316318.7</v>
      </c>
      <c r="R60" s="14">
        <v>0</v>
      </c>
      <c r="S60" s="14">
        <v>0</v>
      </c>
    </row>
    <row r="61" spans="1:19" ht="12.75">
      <c r="A61" s="5">
        <f t="shared" si="8"/>
        <v>47</v>
      </c>
      <c r="B61" s="7" t="s">
        <v>107</v>
      </c>
      <c r="C61" s="4">
        <f t="shared" si="2"/>
        <v>312822</v>
      </c>
      <c r="D61" s="4">
        <f t="shared" si="3"/>
        <v>312822</v>
      </c>
      <c r="E61" s="4"/>
      <c r="F61" s="4"/>
      <c r="G61" s="4">
        <f t="shared" si="4"/>
        <v>312822</v>
      </c>
      <c r="H61" s="4"/>
      <c r="I61" s="4">
        <f t="shared" si="5"/>
        <v>312822</v>
      </c>
      <c r="J61" s="4">
        <f t="shared" si="6"/>
        <v>0</v>
      </c>
      <c r="K61" s="4">
        <f t="shared" si="7"/>
        <v>0</v>
      </c>
      <c r="L61" s="4"/>
      <c r="M61" s="14">
        <v>312822</v>
      </c>
      <c r="N61" s="14">
        <v>0</v>
      </c>
      <c r="O61" s="14">
        <v>0</v>
      </c>
      <c r="P61" s="4"/>
      <c r="Q61" s="14">
        <v>312822</v>
      </c>
      <c r="R61" s="14">
        <v>0</v>
      </c>
      <c r="S61" s="14">
        <v>0</v>
      </c>
    </row>
    <row r="62" spans="1:19" ht="12.75">
      <c r="A62" s="5">
        <f t="shared" si="8"/>
        <v>48</v>
      </c>
      <c r="B62" s="7" t="s">
        <v>106</v>
      </c>
      <c r="C62" s="4">
        <f t="shared" si="2"/>
        <v>0</v>
      </c>
      <c r="D62" s="4">
        <f t="shared" si="3"/>
        <v>0</v>
      </c>
      <c r="E62" s="4"/>
      <c r="F62" s="4"/>
      <c r="G62" s="4">
        <f t="shared" si="4"/>
        <v>0</v>
      </c>
      <c r="H62" s="4"/>
      <c r="I62" s="4">
        <f t="shared" si="5"/>
        <v>0</v>
      </c>
      <c r="J62" s="4">
        <f t="shared" si="6"/>
        <v>0</v>
      </c>
      <c r="K62" s="4">
        <f t="shared" si="7"/>
        <v>0</v>
      </c>
      <c r="L62" s="4"/>
      <c r="M62" s="14">
        <v>0</v>
      </c>
      <c r="N62" s="14">
        <v>0</v>
      </c>
      <c r="O62" s="14">
        <v>0</v>
      </c>
      <c r="P62" s="4"/>
      <c r="Q62" s="14">
        <v>0</v>
      </c>
      <c r="R62" s="14">
        <v>0</v>
      </c>
      <c r="S62" s="14">
        <v>0</v>
      </c>
    </row>
    <row r="63" spans="1:19" ht="12.75">
      <c r="A63" s="5">
        <f t="shared" si="8"/>
        <v>49</v>
      </c>
      <c r="B63" s="8" t="s">
        <v>16</v>
      </c>
      <c r="C63" s="9">
        <v>0.49</v>
      </c>
      <c r="D63" s="9">
        <v>0.49</v>
      </c>
      <c r="E63" s="4">
        <f aca="true" t="shared" si="9" ref="E63:F65">-C63</f>
        <v>-0.49</v>
      </c>
      <c r="F63" s="4">
        <f t="shared" si="9"/>
        <v>-0.49</v>
      </c>
      <c r="G63" s="4">
        <f t="shared" si="4"/>
        <v>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5">
        <f t="shared" si="8"/>
        <v>50</v>
      </c>
      <c r="B64" s="8" t="s">
        <v>105</v>
      </c>
      <c r="C64" s="9">
        <v>128165945.11</v>
      </c>
      <c r="D64" s="9">
        <v>133701796.3</v>
      </c>
      <c r="E64" s="4">
        <f t="shared" si="9"/>
        <v>-128165945.11</v>
      </c>
      <c r="F64" s="4">
        <f t="shared" si="9"/>
        <v>-133701796.3</v>
      </c>
      <c r="G64" s="4">
        <f t="shared" si="4"/>
        <v>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5">
        <f t="shared" si="8"/>
        <v>51</v>
      </c>
      <c r="B65" s="8" t="s">
        <v>104</v>
      </c>
      <c r="C65" s="9">
        <v>-1771929</v>
      </c>
      <c r="D65" s="9">
        <v>-1888400</v>
      </c>
      <c r="E65" s="4">
        <f t="shared" si="9"/>
        <v>1771929</v>
      </c>
      <c r="F65" s="4">
        <f t="shared" si="9"/>
        <v>1888400</v>
      </c>
      <c r="G65" s="4">
        <f t="shared" si="4"/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5">
        <f t="shared" si="8"/>
        <v>52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3.5" thickBot="1">
      <c r="A67" s="5">
        <f t="shared" si="8"/>
        <v>53</v>
      </c>
      <c r="B67" s="8" t="s">
        <v>103</v>
      </c>
      <c r="C67" s="6">
        <f>SUM(C28:C66)</f>
        <v>1757517406.3100002</v>
      </c>
      <c r="D67" s="6">
        <f>SUM(D28:D66)</f>
        <v>1700842575.4</v>
      </c>
      <c r="E67" s="6">
        <f>SUM(E28:E66)</f>
        <v>-126394016.6</v>
      </c>
      <c r="F67" s="6">
        <f>SUM(F28:F66)</f>
        <v>-131813396.78999999</v>
      </c>
      <c r="G67" s="6">
        <f>SUM(G28:G66)</f>
        <v>1600076287</v>
      </c>
      <c r="H67" s="4"/>
      <c r="I67" s="6">
        <f>SUM(I28:I66)</f>
        <v>690740063.5349998</v>
      </c>
      <c r="J67" s="6">
        <f>SUM(J28:J66)</f>
        <v>372291603.69</v>
      </c>
      <c r="K67" s="6">
        <f>SUM(K28:K66)</f>
        <v>537044616.9350001</v>
      </c>
      <c r="L67" s="4"/>
      <c r="M67" s="6">
        <f>SUM(M28:M66)</f>
        <v>684222113.8499999</v>
      </c>
      <c r="N67" s="6">
        <f>SUM(N28:N66)</f>
        <v>394278088.56000006</v>
      </c>
      <c r="O67" s="6">
        <f>SUM(O28:O66)</f>
        <v>552623187.3000002</v>
      </c>
      <c r="P67" s="4"/>
      <c r="Q67" s="6">
        <f>SUM(Q28:Q66)</f>
        <v>697258013.2199998</v>
      </c>
      <c r="R67" s="6">
        <f>SUM(R28:R66)</f>
        <v>350305118.81999993</v>
      </c>
      <c r="S67" s="6">
        <f>SUM(S28:S66)</f>
        <v>521466046.57000005</v>
      </c>
    </row>
    <row r="68" spans="1:19" ht="13.5" thickTop="1">
      <c r="A68" s="5">
        <f t="shared" si="8"/>
        <v>54</v>
      </c>
      <c r="C68" s="3"/>
      <c r="D68" s="3"/>
      <c r="E68" s="3"/>
      <c r="F68" s="3"/>
      <c r="G68" s="3"/>
      <c r="H68" s="4"/>
      <c r="I68" s="3"/>
      <c r="J68" s="3"/>
      <c r="K68" s="3"/>
      <c r="L68" s="4"/>
      <c r="M68" s="3"/>
      <c r="N68" s="3"/>
      <c r="O68" s="3"/>
      <c r="P68" s="4"/>
      <c r="Q68" s="16"/>
      <c r="R68" s="3"/>
      <c r="S68" s="3"/>
    </row>
    <row r="69" spans="1:19" ht="12.75">
      <c r="A69" s="5">
        <f t="shared" si="8"/>
        <v>55</v>
      </c>
      <c r="B69" s="8"/>
      <c r="C69" s="4"/>
      <c r="D69" s="1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5">
        <f t="shared" si="8"/>
        <v>56</v>
      </c>
      <c r="B70" s="7" t="s">
        <v>102</v>
      </c>
      <c r="C70" s="4" t="s">
        <v>101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5">
        <f t="shared" si="8"/>
        <v>57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5">
        <f t="shared" si="8"/>
        <v>58</v>
      </c>
      <c r="B72" s="15" t="s">
        <v>100</v>
      </c>
      <c r="C72" s="4">
        <f aca="true" t="shared" si="10" ref="C72:C103">SUM(M72:O72)</f>
        <v>537936.08</v>
      </c>
      <c r="D72" s="4">
        <f aca="true" t="shared" si="11" ref="D72:D103">SUM(Q72:S72)</f>
        <v>5558088.19</v>
      </c>
      <c r="E72" s="4"/>
      <c r="F72" s="4"/>
      <c r="G72" s="4">
        <f aca="true" t="shared" si="12" ref="G72:G103">ROUND(SUM(C72:F72)/2,0)</f>
        <v>3048012</v>
      </c>
      <c r="H72" s="4"/>
      <c r="I72" s="4">
        <f aca="true" t="shared" si="13" ref="I72:I103">(M72+Q72)/2</f>
        <v>3048012.1350000002</v>
      </c>
      <c r="J72" s="4">
        <f aca="true" t="shared" si="14" ref="J72:J103">(N72+R72)/2</f>
        <v>0</v>
      </c>
      <c r="K72" s="4">
        <f aca="true" t="shared" si="15" ref="K72:K103">(O72+S72)/2</f>
        <v>0</v>
      </c>
      <c r="L72" s="4"/>
      <c r="M72" s="14">
        <v>537936.08</v>
      </c>
      <c r="N72" s="14">
        <v>0</v>
      </c>
      <c r="O72" s="14">
        <v>0</v>
      </c>
      <c r="P72" s="4"/>
      <c r="Q72" s="14">
        <v>5558088.19</v>
      </c>
      <c r="R72" s="14">
        <v>0</v>
      </c>
      <c r="S72" s="14">
        <v>0</v>
      </c>
    </row>
    <row r="73" spans="1:19" ht="12.75">
      <c r="A73" s="5">
        <f t="shared" si="8"/>
        <v>59</v>
      </c>
      <c r="B73" s="7" t="s">
        <v>99</v>
      </c>
      <c r="C73" s="4">
        <f t="shared" si="10"/>
        <v>20704379.88</v>
      </c>
      <c r="D73" s="4">
        <f t="shared" si="11"/>
        <v>1872468.63</v>
      </c>
      <c r="E73" s="4"/>
      <c r="F73" s="4"/>
      <c r="G73" s="4">
        <f t="shared" si="12"/>
        <v>11288424</v>
      </c>
      <c r="H73" s="4"/>
      <c r="I73" s="4">
        <f t="shared" si="13"/>
        <v>11288424.254999999</v>
      </c>
      <c r="J73" s="4">
        <f t="shared" si="14"/>
        <v>0</v>
      </c>
      <c r="K73" s="4">
        <f t="shared" si="15"/>
        <v>0</v>
      </c>
      <c r="L73" s="4"/>
      <c r="M73" s="14">
        <v>20704379.88</v>
      </c>
      <c r="N73" s="14">
        <v>0</v>
      </c>
      <c r="O73" s="14">
        <v>0</v>
      </c>
      <c r="P73" s="4"/>
      <c r="Q73" s="14">
        <v>1872468.63</v>
      </c>
      <c r="R73" s="14">
        <v>0</v>
      </c>
      <c r="S73" s="14">
        <v>0</v>
      </c>
    </row>
    <row r="74" spans="1:19" ht="12.75">
      <c r="A74" s="5">
        <f t="shared" si="8"/>
        <v>60</v>
      </c>
      <c r="B74" s="7" t="s">
        <v>98</v>
      </c>
      <c r="C74" s="4">
        <f t="shared" si="10"/>
        <v>9554796.05</v>
      </c>
      <c r="D74" s="4">
        <f t="shared" si="11"/>
        <v>21254301.9</v>
      </c>
      <c r="E74" s="4"/>
      <c r="F74" s="4"/>
      <c r="G74" s="4">
        <f t="shared" si="12"/>
        <v>15404549</v>
      </c>
      <c r="H74" s="4"/>
      <c r="I74" s="4">
        <f t="shared" si="13"/>
        <v>15404548.975</v>
      </c>
      <c r="J74" s="4">
        <f t="shared" si="14"/>
        <v>0</v>
      </c>
      <c r="K74" s="4">
        <f t="shared" si="15"/>
        <v>0</v>
      </c>
      <c r="L74" s="4"/>
      <c r="M74" s="14">
        <v>9554796.05</v>
      </c>
      <c r="N74" s="14">
        <v>0</v>
      </c>
      <c r="O74" s="14">
        <v>0</v>
      </c>
      <c r="P74" s="4"/>
      <c r="Q74" s="14">
        <v>21254301.9</v>
      </c>
      <c r="R74" s="14">
        <v>0</v>
      </c>
      <c r="S74" s="14">
        <v>0</v>
      </c>
    </row>
    <row r="75" spans="1:19" ht="12.75">
      <c r="A75" s="5">
        <f t="shared" si="8"/>
        <v>61</v>
      </c>
      <c r="B75" s="7" t="s">
        <v>97</v>
      </c>
      <c r="C75" s="4">
        <f t="shared" si="10"/>
        <v>0</v>
      </c>
      <c r="D75" s="4">
        <f t="shared" si="11"/>
        <v>0</v>
      </c>
      <c r="E75" s="4"/>
      <c r="F75" s="4"/>
      <c r="G75" s="4">
        <f t="shared" si="12"/>
        <v>0</v>
      </c>
      <c r="H75" s="4"/>
      <c r="I75" s="4">
        <f t="shared" si="13"/>
        <v>0</v>
      </c>
      <c r="J75" s="4">
        <f t="shared" si="14"/>
        <v>0</v>
      </c>
      <c r="K75" s="4">
        <f t="shared" si="15"/>
        <v>0</v>
      </c>
      <c r="L75" s="4"/>
      <c r="M75" s="14">
        <v>0</v>
      </c>
      <c r="N75" s="14">
        <v>0</v>
      </c>
      <c r="O75" s="14">
        <v>0</v>
      </c>
      <c r="P75" s="4"/>
      <c r="Q75" s="14">
        <v>0</v>
      </c>
      <c r="R75" s="14">
        <v>0</v>
      </c>
      <c r="S75" s="14">
        <v>0</v>
      </c>
    </row>
    <row r="76" spans="1:19" ht="12.75">
      <c r="A76" s="5">
        <f t="shared" si="8"/>
        <v>62</v>
      </c>
      <c r="B76" s="7" t="s">
        <v>96</v>
      </c>
      <c r="C76" s="4">
        <f t="shared" si="10"/>
        <v>-221361.11</v>
      </c>
      <c r="D76" s="4">
        <f t="shared" si="11"/>
        <v>0</v>
      </c>
      <c r="E76" s="4"/>
      <c r="F76" s="4"/>
      <c r="G76" s="4">
        <f t="shared" si="12"/>
        <v>-110681</v>
      </c>
      <c r="H76" s="4"/>
      <c r="I76" s="4">
        <f t="shared" si="13"/>
        <v>-110680.555</v>
      </c>
      <c r="J76" s="4">
        <f t="shared" si="14"/>
        <v>0</v>
      </c>
      <c r="K76" s="4">
        <f t="shared" si="15"/>
        <v>0</v>
      </c>
      <c r="L76" s="4"/>
      <c r="M76" s="14">
        <v>-221361.11</v>
      </c>
      <c r="N76" s="14">
        <v>0</v>
      </c>
      <c r="O76" s="14">
        <v>0</v>
      </c>
      <c r="P76" s="4"/>
      <c r="Q76" s="14">
        <v>0</v>
      </c>
      <c r="R76" s="14">
        <v>0</v>
      </c>
      <c r="S76" s="14">
        <v>0</v>
      </c>
    </row>
    <row r="77" spans="1:19" ht="12.75">
      <c r="A77" s="5">
        <f t="shared" si="8"/>
        <v>63</v>
      </c>
      <c r="B77" s="7" t="s">
        <v>95</v>
      </c>
      <c r="C77" s="4">
        <f t="shared" si="10"/>
        <v>0</v>
      </c>
      <c r="D77" s="4">
        <f t="shared" si="11"/>
        <v>0</v>
      </c>
      <c r="E77" s="4"/>
      <c r="F77" s="4"/>
      <c r="G77" s="4">
        <f t="shared" si="12"/>
        <v>0</v>
      </c>
      <c r="H77" s="4"/>
      <c r="I77" s="4">
        <f t="shared" si="13"/>
        <v>0</v>
      </c>
      <c r="J77" s="4">
        <f t="shared" si="14"/>
        <v>0</v>
      </c>
      <c r="K77" s="4">
        <f t="shared" si="15"/>
        <v>0</v>
      </c>
      <c r="L77" s="4"/>
      <c r="M77" s="14">
        <v>0</v>
      </c>
      <c r="N77" s="14">
        <v>0</v>
      </c>
      <c r="O77" s="14">
        <v>0</v>
      </c>
      <c r="P77" s="4"/>
      <c r="Q77" s="14">
        <v>0</v>
      </c>
      <c r="R77" s="14">
        <v>0</v>
      </c>
      <c r="S77" s="14">
        <v>0</v>
      </c>
    </row>
    <row r="78" spans="1:19" ht="12.75">
      <c r="A78" s="5">
        <f t="shared" si="8"/>
        <v>64</v>
      </c>
      <c r="B78" s="7" t="s">
        <v>94</v>
      </c>
      <c r="C78" s="4">
        <f t="shared" si="10"/>
        <v>0</v>
      </c>
      <c r="D78" s="4">
        <f t="shared" si="11"/>
        <v>0</v>
      </c>
      <c r="E78" s="4"/>
      <c r="F78" s="4"/>
      <c r="G78" s="4">
        <f t="shared" si="12"/>
        <v>0</v>
      </c>
      <c r="H78" s="4"/>
      <c r="I78" s="4">
        <f t="shared" si="13"/>
        <v>0</v>
      </c>
      <c r="J78" s="4">
        <f t="shared" si="14"/>
        <v>0</v>
      </c>
      <c r="K78" s="4">
        <f t="shared" si="15"/>
        <v>0</v>
      </c>
      <c r="L78" s="4"/>
      <c r="M78" s="14">
        <v>0</v>
      </c>
      <c r="N78" s="14">
        <v>0</v>
      </c>
      <c r="O78" s="14">
        <v>0</v>
      </c>
      <c r="P78" s="4"/>
      <c r="Q78" s="14">
        <v>0</v>
      </c>
      <c r="R78" s="14">
        <v>0</v>
      </c>
      <c r="S78" s="14">
        <v>0</v>
      </c>
    </row>
    <row r="79" spans="1:19" ht="12.75">
      <c r="A79" s="5">
        <f t="shared" si="8"/>
        <v>65</v>
      </c>
      <c r="B79" s="15" t="s">
        <v>93</v>
      </c>
      <c r="C79" s="4">
        <f t="shared" si="10"/>
        <v>0</v>
      </c>
      <c r="D79" s="4">
        <f t="shared" si="11"/>
        <v>1197494.72</v>
      </c>
      <c r="E79" s="4"/>
      <c r="F79" s="4"/>
      <c r="G79" s="4">
        <f t="shared" si="12"/>
        <v>598747</v>
      </c>
      <c r="H79" s="4"/>
      <c r="I79" s="4">
        <f t="shared" si="13"/>
        <v>598747.36</v>
      </c>
      <c r="J79" s="4">
        <f t="shared" si="14"/>
        <v>0</v>
      </c>
      <c r="K79" s="4">
        <f t="shared" si="15"/>
        <v>0</v>
      </c>
      <c r="L79" s="4"/>
      <c r="M79" s="14">
        <v>0</v>
      </c>
      <c r="N79" s="14">
        <v>0</v>
      </c>
      <c r="O79" s="14">
        <v>0</v>
      </c>
      <c r="P79" s="4"/>
      <c r="Q79" s="14">
        <v>1197494.72</v>
      </c>
      <c r="R79" s="14">
        <v>0</v>
      </c>
      <c r="S79" s="14">
        <v>0</v>
      </c>
    </row>
    <row r="80" spans="1:19" ht="12.75">
      <c r="A80" s="5">
        <f aca="true" t="shared" si="16" ref="A80:A111">A79+1</f>
        <v>66</v>
      </c>
      <c r="B80" s="7" t="s">
        <v>92</v>
      </c>
      <c r="C80" s="4">
        <f t="shared" si="10"/>
        <v>4905103.09</v>
      </c>
      <c r="D80" s="4">
        <f t="shared" si="11"/>
        <v>3429486.1199999996</v>
      </c>
      <c r="E80" s="4"/>
      <c r="F80" s="4"/>
      <c r="G80" s="4">
        <f t="shared" si="12"/>
        <v>4167295</v>
      </c>
      <c r="H80" s="4"/>
      <c r="I80" s="4">
        <f t="shared" si="13"/>
        <v>-676686.9400000001</v>
      </c>
      <c r="J80" s="4">
        <f t="shared" si="14"/>
        <v>1410025.085</v>
      </c>
      <c r="K80" s="4">
        <f t="shared" si="15"/>
        <v>3433956.46</v>
      </c>
      <c r="L80" s="4"/>
      <c r="M80" s="14">
        <v>42402.7</v>
      </c>
      <c r="N80" s="14">
        <v>1381485.23</v>
      </c>
      <c r="O80" s="14">
        <v>3481215.16</v>
      </c>
      <c r="P80" s="4"/>
      <c r="Q80" s="14">
        <v>-1395776.58</v>
      </c>
      <c r="R80" s="14">
        <v>1438564.94</v>
      </c>
      <c r="S80" s="14">
        <v>3386697.76</v>
      </c>
    </row>
    <row r="81" spans="1:19" ht="12.75">
      <c r="A81" s="5">
        <f t="shared" si="16"/>
        <v>67</v>
      </c>
      <c r="B81" s="15" t="s">
        <v>91</v>
      </c>
      <c r="C81" s="4">
        <f t="shared" si="10"/>
        <v>1897034</v>
      </c>
      <c r="D81" s="4">
        <f t="shared" si="11"/>
        <v>1897034</v>
      </c>
      <c r="E81" s="4"/>
      <c r="F81" s="4"/>
      <c r="G81" s="4">
        <f t="shared" si="12"/>
        <v>1897034</v>
      </c>
      <c r="H81" s="4"/>
      <c r="I81" s="4">
        <f t="shared" si="13"/>
        <v>1897034</v>
      </c>
      <c r="J81" s="4">
        <f t="shared" si="14"/>
        <v>0</v>
      </c>
      <c r="K81" s="4">
        <f t="shared" si="15"/>
        <v>0</v>
      </c>
      <c r="L81" s="4"/>
      <c r="M81" s="14">
        <v>1897034</v>
      </c>
      <c r="N81" s="14">
        <v>0</v>
      </c>
      <c r="O81" s="14">
        <v>0</v>
      </c>
      <c r="P81" s="4"/>
      <c r="Q81" s="14">
        <v>1897034</v>
      </c>
      <c r="R81" s="14">
        <v>0</v>
      </c>
      <c r="S81" s="14">
        <v>0</v>
      </c>
    </row>
    <row r="82" spans="1:19" ht="12.75">
      <c r="A82" s="5">
        <f t="shared" si="16"/>
        <v>68</v>
      </c>
      <c r="B82" s="15" t="s">
        <v>90</v>
      </c>
      <c r="C82" s="4">
        <f t="shared" si="10"/>
        <v>116187034.25</v>
      </c>
      <c r="D82" s="4">
        <f t="shared" si="11"/>
        <v>124038346.25</v>
      </c>
      <c r="E82" s="4"/>
      <c r="F82" s="4"/>
      <c r="G82" s="4">
        <f t="shared" si="12"/>
        <v>120112690</v>
      </c>
      <c r="H82" s="4"/>
      <c r="I82" s="4">
        <f t="shared" si="13"/>
        <v>120112690.25</v>
      </c>
      <c r="J82" s="4">
        <f t="shared" si="14"/>
        <v>0</v>
      </c>
      <c r="K82" s="4">
        <f t="shared" si="15"/>
        <v>0</v>
      </c>
      <c r="L82" s="4"/>
      <c r="M82" s="14">
        <v>116187034.25</v>
      </c>
      <c r="N82" s="14">
        <v>0</v>
      </c>
      <c r="O82" s="14">
        <v>0</v>
      </c>
      <c r="P82" s="4"/>
      <c r="Q82" s="14">
        <v>124038346.25</v>
      </c>
      <c r="R82" s="14">
        <v>0</v>
      </c>
      <c r="S82" s="14">
        <v>0</v>
      </c>
    </row>
    <row r="83" spans="1:19" ht="12.75">
      <c r="A83" s="5">
        <f t="shared" si="16"/>
        <v>69</v>
      </c>
      <c r="B83" s="7" t="s">
        <v>89</v>
      </c>
      <c r="C83" s="4">
        <f t="shared" si="10"/>
        <v>4563746.6</v>
      </c>
      <c r="D83" s="4">
        <f t="shared" si="11"/>
        <v>9339119.65</v>
      </c>
      <c r="E83" s="4"/>
      <c r="F83" s="4"/>
      <c r="G83" s="4">
        <f t="shared" si="12"/>
        <v>6951433</v>
      </c>
      <c r="H83" s="4"/>
      <c r="I83" s="4">
        <f t="shared" si="13"/>
        <v>6951433.125</v>
      </c>
      <c r="J83" s="4">
        <f t="shared" si="14"/>
        <v>0</v>
      </c>
      <c r="K83" s="4">
        <f t="shared" si="15"/>
        <v>0</v>
      </c>
      <c r="L83" s="4"/>
      <c r="M83" s="14">
        <v>4563746.6</v>
      </c>
      <c r="N83" s="14">
        <v>0</v>
      </c>
      <c r="O83" s="14">
        <v>0</v>
      </c>
      <c r="P83" s="4"/>
      <c r="Q83" s="14">
        <v>9339119.65</v>
      </c>
      <c r="R83" s="14">
        <v>0</v>
      </c>
      <c r="S83" s="14">
        <v>0</v>
      </c>
    </row>
    <row r="84" spans="1:19" ht="12.75">
      <c r="A84" s="5">
        <f t="shared" si="16"/>
        <v>70</v>
      </c>
      <c r="B84" s="7" t="s">
        <v>88</v>
      </c>
      <c r="C84" s="4">
        <f t="shared" si="10"/>
        <v>-679995.75</v>
      </c>
      <c r="D84" s="4">
        <f t="shared" si="11"/>
        <v>-679996.1</v>
      </c>
      <c r="E84" s="4"/>
      <c r="F84" s="4"/>
      <c r="G84" s="4">
        <f t="shared" si="12"/>
        <v>-679996</v>
      </c>
      <c r="H84" s="4"/>
      <c r="I84" s="4">
        <f t="shared" si="13"/>
        <v>-679995.925</v>
      </c>
      <c r="J84" s="4">
        <f t="shared" si="14"/>
        <v>0</v>
      </c>
      <c r="K84" s="4">
        <f t="shared" si="15"/>
        <v>0</v>
      </c>
      <c r="L84" s="4"/>
      <c r="M84" s="14">
        <v>-679995.75</v>
      </c>
      <c r="N84" s="14">
        <v>0</v>
      </c>
      <c r="O84" s="14">
        <v>0</v>
      </c>
      <c r="P84" s="4"/>
      <c r="Q84" s="14">
        <v>-679996.1</v>
      </c>
      <c r="R84" s="14">
        <v>0</v>
      </c>
      <c r="S84" s="14">
        <v>0</v>
      </c>
    </row>
    <row r="85" spans="1:19" ht="12.75">
      <c r="A85" s="5">
        <f t="shared" si="16"/>
        <v>71</v>
      </c>
      <c r="B85" s="7" t="s">
        <v>87</v>
      </c>
      <c r="C85" s="4">
        <f t="shared" si="10"/>
        <v>50971749.39</v>
      </c>
      <c r="D85" s="4">
        <f t="shared" si="11"/>
        <v>52744465.39</v>
      </c>
      <c r="E85" s="4"/>
      <c r="F85" s="4"/>
      <c r="G85" s="4">
        <f t="shared" si="12"/>
        <v>51858107</v>
      </c>
      <c r="H85" s="4"/>
      <c r="I85" s="4">
        <f t="shared" si="13"/>
        <v>21570344.03</v>
      </c>
      <c r="J85" s="4">
        <f t="shared" si="14"/>
        <v>2317230.8449999997</v>
      </c>
      <c r="K85" s="4">
        <f t="shared" si="15"/>
        <v>27970532.515</v>
      </c>
      <c r="L85" s="4"/>
      <c r="M85" s="14">
        <v>21314894.19</v>
      </c>
      <c r="N85" s="14">
        <v>2192250.07</v>
      </c>
      <c r="O85" s="14">
        <v>27464605.13</v>
      </c>
      <c r="P85" s="4"/>
      <c r="Q85" s="14">
        <v>21825793.87</v>
      </c>
      <c r="R85" s="14">
        <v>2442211.62</v>
      </c>
      <c r="S85" s="14">
        <v>28476459.9</v>
      </c>
    </row>
    <row r="86" spans="1:19" ht="12.75">
      <c r="A86" s="5">
        <f t="shared" si="16"/>
        <v>72</v>
      </c>
      <c r="B86" s="7" t="s">
        <v>86</v>
      </c>
      <c r="C86" s="4">
        <f t="shared" si="10"/>
        <v>-76188362.94999999</v>
      </c>
      <c r="D86" s="4">
        <f t="shared" si="11"/>
        <v>-81290352.5</v>
      </c>
      <c r="E86" s="4"/>
      <c r="F86" s="4"/>
      <c r="G86" s="4">
        <f t="shared" si="12"/>
        <v>-78739358</v>
      </c>
      <c r="H86" s="4"/>
      <c r="I86" s="4">
        <f t="shared" si="13"/>
        <v>-29595261.15</v>
      </c>
      <c r="J86" s="4">
        <f t="shared" si="14"/>
        <v>-6096848.275</v>
      </c>
      <c r="K86" s="4">
        <f t="shared" si="15"/>
        <v>-43047248.3</v>
      </c>
      <c r="L86" s="4"/>
      <c r="M86" s="14">
        <v>-28168288.75</v>
      </c>
      <c r="N86" s="14">
        <v>-6113437.05</v>
      </c>
      <c r="O86" s="14">
        <v>-41906637.15</v>
      </c>
      <c r="P86" s="4"/>
      <c r="Q86" s="14">
        <v>-31022233.55</v>
      </c>
      <c r="R86" s="14">
        <v>-6080259.5</v>
      </c>
      <c r="S86" s="14">
        <v>-44187859.45</v>
      </c>
    </row>
    <row r="87" spans="1:19" ht="12.75">
      <c r="A87" s="5">
        <f t="shared" si="16"/>
        <v>73</v>
      </c>
      <c r="B87" s="7" t="s">
        <v>85</v>
      </c>
      <c r="C87" s="4">
        <f t="shared" si="10"/>
        <v>571241.53</v>
      </c>
      <c r="D87" s="4">
        <f t="shared" si="11"/>
        <v>688611.12</v>
      </c>
      <c r="E87" s="4"/>
      <c r="F87" s="4"/>
      <c r="G87" s="4">
        <f t="shared" si="12"/>
        <v>629926</v>
      </c>
      <c r="H87" s="4"/>
      <c r="I87" s="4">
        <f t="shared" si="13"/>
        <v>0</v>
      </c>
      <c r="J87" s="4">
        <f t="shared" si="14"/>
        <v>629926.325</v>
      </c>
      <c r="K87" s="4">
        <f t="shared" si="15"/>
        <v>0</v>
      </c>
      <c r="L87" s="4"/>
      <c r="M87" s="14">
        <v>0</v>
      </c>
      <c r="N87" s="14">
        <v>571241.53</v>
      </c>
      <c r="O87" s="14">
        <v>0</v>
      </c>
      <c r="P87" s="4"/>
      <c r="Q87" s="14">
        <v>0</v>
      </c>
      <c r="R87" s="14">
        <v>688611.12</v>
      </c>
      <c r="S87" s="14">
        <v>0</v>
      </c>
    </row>
    <row r="88" spans="1:19" ht="12.75">
      <c r="A88" s="5">
        <f t="shared" si="16"/>
        <v>74</v>
      </c>
      <c r="B88" s="7" t="s">
        <v>84</v>
      </c>
      <c r="C88" s="4">
        <f t="shared" si="10"/>
        <v>33567.8</v>
      </c>
      <c r="D88" s="4">
        <f t="shared" si="11"/>
        <v>1132243</v>
      </c>
      <c r="E88" s="4"/>
      <c r="F88" s="4"/>
      <c r="G88" s="4">
        <f t="shared" si="12"/>
        <v>582905</v>
      </c>
      <c r="H88" s="4"/>
      <c r="I88" s="4">
        <f t="shared" si="13"/>
        <v>582905.4</v>
      </c>
      <c r="J88" s="4">
        <f t="shared" si="14"/>
        <v>0</v>
      </c>
      <c r="K88" s="4">
        <f t="shared" si="15"/>
        <v>0</v>
      </c>
      <c r="L88" s="4"/>
      <c r="M88" s="14">
        <v>33567.8</v>
      </c>
      <c r="N88" s="14">
        <v>0</v>
      </c>
      <c r="O88" s="14">
        <v>0</v>
      </c>
      <c r="P88" s="4"/>
      <c r="Q88" s="14">
        <v>1132243</v>
      </c>
      <c r="R88" s="14">
        <v>0</v>
      </c>
      <c r="S88" s="14">
        <v>0</v>
      </c>
    </row>
    <row r="89" spans="1:19" ht="12.75">
      <c r="A89" s="5">
        <f t="shared" si="16"/>
        <v>75</v>
      </c>
      <c r="B89" s="7" t="s">
        <v>83</v>
      </c>
      <c r="C89" s="4">
        <f t="shared" si="10"/>
        <v>45312.05</v>
      </c>
      <c r="D89" s="4">
        <f t="shared" si="11"/>
        <v>45312.05</v>
      </c>
      <c r="E89" s="4"/>
      <c r="F89" s="4"/>
      <c r="G89" s="4">
        <f t="shared" si="12"/>
        <v>45312</v>
      </c>
      <c r="H89" s="4"/>
      <c r="I89" s="4">
        <f t="shared" si="13"/>
        <v>0</v>
      </c>
      <c r="J89" s="4">
        <f t="shared" si="14"/>
        <v>18841.9</v>
      </c>
      <c r="K89" s="4">
        <f t="shared" si="15"/>
        <v>26470.15</v>
      </c>
      <c r="L89" s="4"/>
      <c r="M89" s="14">
        <v>0</v>
      </c>
      <c r="N89" s="14">
        <v>18841.9</v>
      </c>
      <c r="O89" s="14">
        <v>26470.15</v>
      </c>
      <c r="P89" s="4"/>
      <c r="Q89" s="14">
        <v>0</v>
      </c>
      <c r="R89" s="14">
        <v>18841.9</v>
      </c>
      <c r="S89" s="14">
        <v>26470.15</v>
      </c>
    </row>
    <row r="90" spans="1:19" ht="12.75">
      <c r="A90" s="5">
        <f t="shared" si="16"/>
        <v>76</v>
      </c>
      <c r="B90" s="7" t="s">
        <v>82</v>
      </c>
      <c r="C90" s="4">
        <f t="shared" si="10"/>
        <v>-15741.95</v>
      </c>
      <c r="D90" s="4">
        <f t="shared" si="11"/>
        <v>-15741.95</v>
      </c>
      <c r="E90" s="4"/>
      <c r="F90" s="4"/>
      <c r="G90" s="4">
        <f t="shared" si="12"/>
        <v>-15742</v>
      </c>
      <c r="H90" s="4"/>
      <c r="I90" s="4">
        <f t="shared" si="13"/>
        <v>0</v>
      </c>
      <c r="J90" s="4">
        <f t="shared" si="14"/>
        <v>-11175.15</v>
      </c>
      <c r="K90" s="4">
        <f t="shared" si="15"/>
        <v>-4566.8</v>
      </c>
      <c r="L90" s="4"/>
      <c r="M90" s="14">
        <v>0</v>
      </c>
      <c r="N90" s="14">
        <v>-11175.15</v>
      </c>
      <c r="O90" s="14">
        <v>-4566.8</v>
      </c>
      <c r="P90" s="4"/>
      <c r="Q90" s="14">
        <v>0</v>
      </c>
      <c r="R90" s="14">
        <v>-11175.15</v>
      </c>
      <c r="S90" s="14">
        <v>-4566.8</v>
      </c>
    </row>
    <row r="91" spans="1:19" ht="12.75">
      <c r="A91" s="5">
        <f t="shared" si="16"/>
        <v>77</v>
      </c>
      <c r="B91" s="7" t="s">
        <v>81</v>
      </c>
      <c r="C91" s="4">
        <f t="shared" si="10"/>
        <v>340471.61</v>
      </c>
      <c r="D91" s="4">
        <f t="shared" si="11"/>
        <v>373854.37</v>
      </c>
      <c r="E91" s="4"/>
      <c r="F91" s="4"/>
      <c r="G91" s="4">
        <f t="shared" si="12"/>
        <v>357163</v>
      </c>
      <c r="H91" s="4"/>
      <c r="I91" s="4">
        <f t="shared" si="13"/>
        <v>357162.99</v>
      </c>
      <c r="J91" s="4">
        <f t="shared" si="14"/>
        <v>0</v>
      </c>
      <c r="K91" s="4">
        <f t="shared" si="15"/>
        <v>0</v>
      </c>
      <c r="L91" s="4"/>
      <c r="M91" s="14">
        <v>340471.61</v>
      </c>
      <c r="N91" s="14">
        <v>0</v>
      </c>
      <c r="O91" s="14">
        <v>0</v>
      </c>
      <c r="P91" s="4"/>
      <c r="Q91" s="14">
        <v>373854.37</v>
      </c>
      <c r="R91" s="14">
        <v>0</v>
      </c>
      <c r="S91" s="14">
        <v>0</v>
      </c>
    </row>
    <row r="92" spans="1:19" ht="12.75">
      <c r="A92" s="5">
        <f t="shared" si="16"/>
        <v>78</v>
      </c>
      <c r="B92" s="7" t="s">
        <v>80</v>
      </c>
      <c r="C92" s="4">
        <f t="shared" si="10"/>
        <v>25281917.2</v>
      </c>
      <c r="D92" s="4">
        <f t="shared" si="11"/>
        <v>30330089.99</v>
      </c>
      <c r="E92" s="4"/>
      <c r="F92" s="4"/>
      <c r="G92" s="4">
        <f t="shared" si="12"/>
        <v>27806004</v>
      </c>
      <c r="H92" s="4"/>
      <c r="I92" s="4">
        <f t="shared" si="13"/>
        <v>0</v>
      </c>
      <c r="J92" s="4">
        <f t="shared" si="14"/>
        <v>0</v>
      </c>
      <c r="K92" s="4">
        <f t="shared" si="15"/>
        <v>27806003.595</v>
      </c>
      <c r="L92" s="4"/>
      <c r="M92" s="14">
        <v>0</v>
      </c>
      <c r="N92" s="14">
        <v>0</v>
      </c>
      <c r="O92" s="14">
        <v>25281917.2</v>
      </c>
      <c r="P92" s="4"/>
      <c r="Q92" s="14">
        <v>0</v>
      </c>
      <c r="R92" s="14">
        <v>0</v>
      </c>
      <c r="S92" s="14">
        <v>30330089.99</v>
      </c>
    </row>
    <row r="93" spans="1:19" ht="12.75">
      <c r="A93" s="5">
        <f t="shared" si="16"/>
        <v>79</v>
      </c>
      <c r="B93" s="7" t="s">
        <v>79</v>
      </c>
      <c r="C93" s="4">
        <f t="shared" si="10"/>
        <v>0</v>
      </c>
      <c r="D93" s="4">
        <f t="shared" si="11"/>
        <v>0.04</v>
      </c>
      <c r="E93" s="4"/>
      <c r="F93" s="4"/>
      <c r="G93" s="4">
        <f t="shared" si="12"/>
        <v>0</v>
      </c>
      <c r="H93" s="4"/>
      <c r="I93" s="4">
        <f t="shared" si="13"/>
        <v>0</v>
      </c>
      <c r="J93" s="4">
        <f t="shared" si="14"/>
        <v>0</v>
      </c>
      <c r="K93" s="4">
        <f t="shared" si="15"/>
        <v>0.02</v>
      </c>
      <c r="L93" s="4"/>
      <c r="M93" s="14">
        <v>0</v>
      </c>
      <c r="N93" s="14">
        <v>0</v>
      </c>
      <c r="O93" s="14">
        <v>0</v>
      </c>
      <c r="P93" s="4"/>
      <c r="Q93" s="14">
        <v>0</v>
      </c>
      <c r="R93" s="14">
        <v>0</v>
      </c>
      <c r="S93" s="14">
        <v>0.04</v>
      </c>
    </row>
    <row r="94" spans="1:19" ht="12.75">
      <c r="A94" s="5">
        <f t="shared" si="16"/>
        <v>80</v>
      </c>
      <c r="B94" s="7" t="s">
        <v>78</v>
      </c>
      <c r="C94" s="4">
        <f t="shared" si="10"/>
        <v>1245298.18</v>
      </c>
      <c r="D94" s="4">
        <f t="shared" si="11"/>
        <v>314054.3</v>
      </c>
      <c r="E94" s="4"/>
      <c r="F94" s="4"/>
      <c r="G94" s="4">
        <f t="shared" si="12"/>
        <v>779676</v>
      </c>
      <c r="H94" s="4"/>
      <c r="I94" s="4">
        <f t="shared" si="13"/>
        <v>0</v>
      </c>
      <c r="J94" s="4">
        <f t="shared" si="14"/>
        <v>0</v>
      </c>
      <c r="K94" s="4">
        <f t="shared" si="15"/>
        <v>779676.24</v>
      </c>
      <c r="L94" s="4"/>
      <c r="M94" s="14">
        <v>0</v>
      </c>
      <c r="N94" s="14">
        <v>0</v>
      </c>
      <c r="O94" s="14">
        <v>1245298.18</v>
      </c>
      <c r="P94" s="4"/>
      <c r="Q94" s="14">
        <v>0</v>
      </c>
      <c r="R94" s="14">
        <v>0</v>
      </c>
      <c r="S94" s="14">
        <v>314054.3</v>
      </c>
    </row>
    <row r="95" spans="1:19" ht="12.75">
      <c r="A95" s="5">
        <f t="shared" si="16"/>
        <v>81</v>
      </c>
      <c r="B95" s="15" t="s">
        <v>77</v>
      </c>
      <c r="C95" s="4">
        <f t="shared" si="10"/>
        <v>154926</v>
      </c>
      <c r="D95" s="4">
        <f t="shared" si="11"/>
        <v>154926</v>
      </c>
      <c r="E95" s="4"/>
      <c r="F95" s="4"/>
      <c r="G95" s="4">
        <f t="shared" si="12"/>
        <v>154926</v>
      </c>
      <c r="H95" s="4"/>
      <c r="I95" s="4">
        <f t="shared" si="13"/>
        <v>154926</v>
      </c>
      <c r="J95" s="4">
        <f t="shared" si="14"/>
        <v>0</v>
      </c>
      <c r="K95" s="4">
        <f t="shared" si="15"/>
        <v>0</v>
      </c>
      <c r="L95" s="4"/>
      <c r="M95" s="14">
        <v>154926</v>
      </c>
      <c r="N95" s="14">
        <v>0</v>
      </c>
      <c r="O95" s="14">
        <v>0</v>
      </c>
      <c r="P95" s="4"/>
      <c r="Q95" s="14">
        <v>154926</v>
      </c>
      <c r="R95" s="14">
        <v>0</v>
      </c>
      <c r="S95" s="14">
        <v>0</v>
      </c>
    </row>
    <row r="96" spans="1:19" ht="12.75">
      <c r="A96" s="5">
        <f t="shared" si="16"/>
        <v>82</v>
      </c>
      <c r="B96" s="7" t="s">
        <v>76</v>
      </c>
      <c r="C96" s="4">
        <f t="shared" si="10"/>
        <v>9007271.65</v>
      </c>
      <c r="D96" s="4">
        <f t="shared" si="11"/>
        <v>9195549.25</v>
      </c>
      <c r="E96" s="4"/>
      <c r="F96" s="4"/>
      <c r="G96" s="4">
        <f t="shared" si="12"/>
        <v>9101410</v>
      </c>
      <c r="H96" s="4"/>
      <c r="I96" s="4">
        <f t="shared" si="13"/>
        <v>9101410.45</v>
      </c>
      <c r="J96" s="4">
        <f t="shared" si="14"/>
        <v>0</v>
      </c>
      <c r="K96" s="4">
        <f t="shared" si="15"/>
        <v>0</v>
      </c>
      <c r="L96" s="4"/>
      <c r="M96" s="14">
        <v>9007271.65</v>
      </c>
      <c r="N96" s="14">
        <v>0</v>
      </c>
      <c r="O96" s="14">
        <v>0</v>
      </c>
      <c r="P96" s="4"/>
      <c r="Q96" s="14">
        <v>9195549.25</v>
      </c>
      <c r="R96" s="14">
        <v>0</v>
      </c>
      <c r="S96" s="14">
        <v>0</v>
      </c>
    </row>
    <row r="97" spans="1:19" ht="12.75">
      <c r="A97" s="5">
        <f t="shared" si="16"/>
        <v>83</v>
      </c>
      <c r="B97" s="7" t="s">
        <v>75</v>
      </c>
      <c r="C97" s="4">
        <f t="shared" si="10"/>
        <v>-375757.85</v>
      </c>
      <c r="D97" s="4">
        <f t="shared" si="11"/>
        <v>-375757.85</v>
      </c>
      <c r="E97" s="4"/>
      <c r="F97" s="4"/>
      <c r="G97" s="4">
        <f t="shared" si="12"/>
        <v>-375758</v>
      </c>
      <c r="H97" s="4"/>
      <c r="I97" s="4">
        <f t="shared" si="13"/>
        <v>-375757.85</v>
      </c>
      <c r="J97" s="4">
        <f t="shared" si="14"/>
        <v>0</v>
      </c>
      <c r="K97" s="4">
        <f t="shared" si="15"/>
        <v>0</v>
      </c>
      <c r="L97" s="4"/>
      <c r="M97" s="14">
        <v>-375757.85</v>
      </c>
      <c r="N97" s="14">
        <v>0</v>
      </c>
      <c r="O97" s="14">
        <v>0</v>
      </c>
      <c r="P97" s="4"/>
      <c r="Q97" s="14">
        <v>-375757.85</v>
      </c>
      <c r="R97" s="14">
        <v>0</v>
      </c>
      <c r="S97" s="14">
        <v>0</v>
      </c>
    </row>
    <row r="98" spans="1:19" ht="12.75">
      <c r="A98" s="5">
        <f t="shared" si="16"/>
        <v>84</v>
      </c>
      <c r="B98" s="7" t="s">
        <v>74</v>
      </c>
      <c r="C98" s="4">
        <f t="shared" si="10"/>
        <v>-11907.75</v>
      </c>
      <c r="D98" s="4">
        <f t="shared" si="11"/>
        <v>-11907.75</v>
      </c>
      <c r="E98" s="4"/>
      <c r="F98" s="4"/>
      <c r="G98" s="4">
        <f t="shared" si="12"/>
        <v>-11908</v>
      </c>
      <c r="H98" s="4"/>
      <c r="I98" s="4">
        <f t="shared" si="13"/>
        <v>-11907.75</v>
      </c>
      <c r="J98" s="4">
        <f t="shared" si="14"/>
        <v>0</v>
      </c>
      <c r="K98" s="4">
        <f t="shared" si="15"/>
        <v>0</v>
      </c>
      <c r="L98" s="4"/>
      <c r="M98" s="14">
        <v>-11907.75</v>
      </c>
      <c r="N98" s="14">
        <v>0</v>
      </c>
      <c r="O98" s="14">
        <v>0</v>
      </c>
      <c r="P98" s="4"/>
      <c r="Q98" s="14">
        <v>-11907.75</v>
      </c>
      <c r="R98" s="14">
        <v>0</v>
      </c>
      <c r="S98" s="14">
        <v>0</v>
      </c>
    </row>
    <row r="99" spans="1:19" ht="12.75">
      <c r="A99" s="5">
        <f t="shared" si="16"/>
        <v>85</v>
      </c>
      <c r="B99" s="15" t="s">
        <v>73</v>
      </c>
      <c r="C99" s="4">
        <f t="shared" si="10"/>
        <v>0</v>
      </c>
      <c r="D99" s="4">
        <f t="shared" si="11"/>
        <v>0</v>
      </c>
      <c r="E99" s="4"/>
      <c r="F99" s="4"/>
      <c r="G99" s="4">
        <f t="shared" si="12"/>
        <v>0</v>
      </c>
      <c r="H99" s="4"/>
      <c r="I99" s="4">
        <f t="shared" si="13"/>
        <v>0</v>
      </c>
      <c r="J99" s="4">
        <f t="shared" si="14"/>
        <v>0</v>
      </c>
      <c r="K99" s="4">
        <f t="shared" si="15"/>
        <v>0</v>
      </c>
      <c r="L99" s="4"/>
      <c r="M99" s="14">
        <v>0</v>
      </c>
      <c r="N99" s="14">
        <v>0</v>
      </c>
      <c r="O99" s="14">
        <v>0</v>
      </c>
      <c r="P99" s="4"/>
      <c r="Q99" s="14">
        <v>0</v>
      </c>
      <c r="R99" s="14">
        <v>0</v>
      </c>
      <c r="S99" s="14">
        <v>0</v>
      </c>
    </row>
    <row r="100" spans="1:19" ht="12.75">
      <c r="A100" s="5">
        <f t="shared" si="16"/>
        <v>86</v>
      </c>
      <c r="B100" s="7" t="s">
        <v>72</v>
      </c>
      <c r="C100" s="4">
        <f t="shared" si="10"/>
        <v>441889.74</v>
      </c>
      <c r="D100" s="4">
        <f t="shared" si="11"/>
        <v>636014.73</v>
      </c>
      <c r="E100" s="4"/>
      <c r="F100" s="4"/>
      <c r="G100" s="4">
        <f t="shared" si="12"/>
        <v>538952</v>
      </c>
      <c r="H100" s="4"/>
      <c r="I100" s="4">
        <f t="shared" si="13"/>
        <v>0</v>
      </c>
      <c r="J100" s="4">
        <f t="shared" si="14"/>
        <v>0</v>
      </c>
      <c r="K100" s="4">
        <f t="shared" si="15"/>
        <v>538952.235</v>
      </c>
      <c r="L100" s="4"/>
      <c r="M100" s="14">
        <v>0</v>
      </c>
      <c r="N100" s="14">
        <v>0</v>
      </c>
      <c r="O100" s="14">
        <v>441889.74</v>
      </c>
      <c r="P100" s="4"/>
      <c r="Q100" s="14">
        <v>0</v>
      </c>
      <c r="R100" s="14">
        <v>0</v>
      </c>
      <c r="S100" s="14">
        <v>636014.73</v>
      </c>
    </row>
    <row r="101" spans="1:19" ht="12.75">
      <c r="A101" s="5">
        <f t="shared" si="16"/>
        <v>87</v>
      </c>
      <c r="B101" s="7" t="s">
        <v>71</v>
      </c>
      <c r="C101" s="4">
        <f t="shared" si="10"/>
        <v>-0.97</v>
      </c>
      <c r="D101" s="4">
        <f t="shared" si="11"/>
        <v>-0.97</v>
      </c>
      <c r="E101" s="4"/>
      <c r="F101" s="4"/>
      <c r="G101" s="4">
        <f t="shared" si="12"/>
        <v>-1</v>
      </c>
      <c r="H101" s="4"/>
      <c r="I101" s="4">
        <f t="shared" si="13"/>
        <v>0</v>
      </c>
      <c r="J101" s="4">
        <f t="shared" si="14"/>
        <v>0</v>
      </c>
      <c r="K101" s="4">
        <f t="shared" si="15"/>
        <v>-0.97</v>
      </c>
      <c r="L101" s="4"/>
      <c r="M101" s="14">
        <v>0</v>
      </c>
      <c r="N101" s="14">
        <v>0</v>
      </c>
      <c r="O101" s="14">
        <v>-0.97</v>
      </c>
      <c r="P101" s="4"/>
      <c r="Q101" s="14">
        <v>0</v>
      </c>
      <c r="R101" s="14">
        <v>0</v>
      </c>
      <c r="S101" s="14">
        <v>-0.97</v>
      </c>
    </row>
    <row r="102" spans="1:19" ht="12.75">
      <c r="A102" s="5">
        <f t="shared" si="16"/>
        <v>88</v>
      </c>
      <c r="B102" s="7" t="s">
        <v>70</v>
      </c>
      <c r="C102" s="4">
        <f t="shared" si="10"/>
        <v>833810.76</v>
      </c>
      <c r="D102" s="4">
        <f t="shared" si="11"/>
        <v>1546214.05</v>
      </c>
      <c r="E102" s="4"/>
      <c r="F102" s="4"/>
      <c r="G102" s="4">
        <f t="shared" si="12"/>
        <v>1190012</v>
      </c>
      <c r="H102" s="4"/>
      <c r="I102" s="4">
        <f t="shared" si="13"/>
        <v>1190012.405</v>
      </c>
      <c r="J102" s="4">
        <f t="shared" si="14"/>
        <v>0</v>
      </c>
      <c r="K102" s="4">
        <f t="shared" si="15"/>
        <v>0</v>
      </c>
      <c r="L102" s="4"/>
      <c r="M102" s="14">
        <v>833810.76</v>
      </c>
      <c r="N102" s="14">
        <v>0</v>
      </c>
      <c r="O102" s="14">
        <v>0</v>
      </c>
      <c r="P102" s="4"/>
      <c r="Q102" s="14">
        <v>1546214.05</v>
      </c>
      <c r="R102" s="14">
        <v>0</v>
      </c>
      <c r="S102" s="14">
        <v>0</v>
      </c>
    </row>
    <row r="103" spans="1:19" ht="12.75">
      <c r="A103" s="5">
        <f t="shared" si="16"/>
        <v>89</v>
      </c>
      <c r="B103" s="15" t="s">
        <v>69</v>
      </c>
      <c r="C103" s="4">
        <f t="shared" si="10"/>
        <v>76188362.94999999</v>
      </c>
      <c r="D103" s="4">
        <f t="shared" si="11"/>
        <v>81290352.5</v>
      </c>
      <c r="E103" s="4"/>
      <c r="F103" s="4"/>
      <c r="G103" s="4">
        <f t="shared" si="12"/>
        <v>78739358</v>
      </c>
      <c r="H103" s="4"/>
      <c r="I103" s="4">
        <f t="shared" si="13"/>
        <v>29595261.15</v>
      </c>
      <c r="J103" s="4">
        <f t="shared" si="14"/>
        <v>6096848.275</v>
      </c>
      <c r="K103" s="4">
        <f t="shared" si="15"/>
        <v>43047248.3</v>
      </c>
      <c r="L103" s="4"/>
      <c r="M103" s="14">
        <v>28168288.75</v>
      </c>
      <c r="N103" s="14">
        <v>6113437.05</v>
      </c>
      <c r="O103" s="14">
        <v>41906637.15</v>
      </c>
      <c r="P103" s="4"/>
      <c r="Q103" s="14">
        <v>31022233.55</v>
      </c>
      <c r="R103" s="14">
        <v>6080259.5</v>
      </c>
      <c r="S103" s="14">
        <v>44187859.45</v>
      </c>
    </row>
    <row r="104" spans="1:19" ht="12.75">
      <c r="A104" s="5">
        <f t="shared" si="16"/>
        <v>90</v>
      </c>
      <c r="B104" s="15" t="s">
        <v>68</v>
      </c>
      <c r="C104" s="4">
        <f aca="true" t="shared" si="17" ref="C104:C135">SUM(M104:O104)</f>
        <v>219608.19999999998</v>
      </c>
      <c r="D104" s="4">
        <f aca="true" t="shared" si="18" ref="D104:D135">SUM(Q104:S104)</f>
        <v>194948.25</v>
      </c>
      <c r="E104" s="4"/>
      <c r="F104" s="4"/>
      <c r="G104" s="4">
        <f aca="true" t="shared" si="19" ref="G104:G135">ROUND(SUM(C104:F104)/2,0)</f>
        <v>207278</v>
      </c>
      <c r="H104" s="4"/>
      <c r="I104" s="4">
        <f aca="true" t="shared" si="20" ref="I104:I135">(M104+Q104)/2</f>
        <v>-112.35</v>
      </c>
      <c r="J104" s="4">
        <f aca="true" t="shared" si="21" ref="J104:J135">(N104+R104)/2</f>
        <v>0</v>
      </c>
      <c r="K104" s="4">
        <f aca="true" t="shared" si="22" ref="K104:K135">(O104+S104)/2</f>
        <v>207390.575</v>
      </c>
      <c r="L104" s="4"/>
      <c r="M104" s="14">
        <v>-68.95</v>
      </c>
      <c r="N104" s="14">
        <v>0</v>
      </c>
      <c r="O104" s="14">
        <v>219677.15</v>
      </c>
      <c r="P104" s="4"/>
      <c r="Q104" s="14">
        <v>-155.75</v>
      </c>
      <c r="R104" s="14">
        <v>0</v>
      </c>
      <c r="S104" s="14">
        <v>195104</v>
      </c>
    </row>
    <row r="105" spans="1:19" ht="12.75">
      <c r="A105" s="5">
        <f t="shared" si="16"/>
        <v>91</v>
      </c>
      <c r="B105" s="15" t="s">
        <v>67</v>
      </c>
      <c r="C105" s="4">
        <f t="shared" si="17"/>
        <v>-246151.8</v>
      </c>
      <c r="D105" s="4">
        <f t="shared" si="18"/>
        <v>-7115595.2</v>
      </c>
      <c r="E105" s="4"/>
      <c r="F105" s="4"/>
      <c r="G105" s="4">
        <f t="shared" si="19"/>
        <v>-3680874</v>
      </c>
      <c r="H105" s="4"/>
      <c r="I105" s="4">
        <f t="shared" si="20"/>
        <v>-1641039.63</v>
      </c>
      <c r="J105" s="4">
        <f t="shared" si="21"/>
        <v>-131719.22999999998</v>
      </c>
      <c r="K105" s="4">
        <f t="shared" si="22"/>
        <v>-1908114.6400000001</v>
      </c>
      <c r="L105" s="4"/>
      <c r="M105" s="14">
        <v>-190438.76</v>
      </c>
      <c r="N105" s="14">
        <v>104325.7</v>
      </c>
      <c r="O105" s="14">
        <v>-160038.74</v>
      </c>
      <c r="P105" s="4"/>
      <c r="Q105" s="14">
        <v>-3091640.5</v>
      </c>
      <c r="R105" s="14">
        <v>-367764.16</v>
      </c>
      <c r="S105" s="14">
        <v>-3656190.54</v>
      </c>
    </row>
    <row r="106" spans="1:19" ht="12.75">
      <c r="A106" s="5">
        <f t="shared" si="16"/>
        <v>92</v>
      </c>
      <c r="B106" s="15" t="s">
        <v>66</v>
      </c>
      <c r="C106" s="4">
        <f t="shared" si="17"/>
        <v>26114288.02</v>
      </c>
      <c r="D106" s="4">
        <f t="shared" si="18"/>
        <v>18607280.52</v>
      </c>
      <c r="E106" s="4"/>
      <c r="F106" s="4"/>
      <c r="G106" s="4">
        <f t="shared" si="19"/>
        <v>22360784</v>
      </c>
      <c r="H106" s="4"/>
      <c r="I106" s="4">
        <f t="shared" si="20"/>
        <v>0</v>
      </c>
      <c r="J106" s="4">
        <f t="shared" si="21"/>
        <v>22360784.27</v>
      </c>
      <c r="K106" s="4">
        <f t="shared" si="22"/>
        <v>0</v>
      </c>
      <c r="L106" s="4"/>
      <c r="M106" s="14">
        <v>0</v>
      </c>
      <c r="N106" s="14">
        <v>26114288.02</v>
      </c>
      <c r="O106" s="14">
        <v>0</v>
      </c>
      <c r="P106" s="4"/>
      <c r="Q106" s="14">
        <v>0</v>
      </c>
      <c r="R106" s="14">
        <v>18607280.52</v>
      </c>
      <c r="S106" s="14">
        <v>0</v>
      </c>
    </row>
    <row r="107" spans="1:19" ht="12.75">
      <c r="A107" s="5">
        <f t="shared" si="16"/>
        <v>93</v>
      </c>
      <c r="B107" s="15" t="s">
        <v>65</v>
      </c>
      <c r="C107" s="4">
        <f t="shared" si="17"/>
        <v>-4977311.09</v>
      </c>
      <c r="D107" s="4">
        <f t="shared" si="18"/>
        <v>-4435705.02</v>
      </c>
      <c r="E107" s="4"/>
      <c r="F107" s="4"/>
      <c r="G107" s="4">
        <f t="shared" si="19"/>
        <v>-4706508</v>
      </c>
      <c r="H107" s="4"/>
      <c r="I107" s="4">
        <f t="shared" si="20"/>
        <v>-4706508.055</v>
      </c>
      <c r="J107" s="4">
        <f t="shared" si="21"/>
        <v>0</v>
      </c>
      <c r="K107" s="4">
        <f t="shared" si="22"/>
        <v>0</v>
      </c>
      <c r="L107" s="4"/>
      <c r="M107" s="14">
        <v>-4977311.09</v>
      </c>
      <c r="N107" s="14">
        <v>0</v>
      </c>
      <c r="O107" s="14">
        <v>0</v>
      </c>
      <c r="P107" s="4"/>
      <c r="Q107" s="14">
        <v>-4435705.02</v>
      </c>
      <c r="R107" s="14">
        <v>0</v>
      </c>
      <c r="S107" s="14">
        <v>0</v>
      </c>
    </row>
    <row r="108" spans="1:19" ht="12.75">
      <c r="A108" s="5">
        <f t="shared" si="16"/>
        <v>94</v>
      </c>
      <c r="B108" s="15" t="s">
        <v>64</v>
      </c>
      <c r="C108" s="4">
        <f t="shared" si="17"/>
        <v>0</v>
      </c>
      <c r="D108" s="4">
        <f t="shared" si="18"/>
        <v>0</v>
      </c>
      <c r="E108" s="4"/>
      <c r="F108" s="4"/>
      <c r="G108" s="4">
        <f t="shared" si="19"/>
        <v>0</v>
      </c>
      <c r="H108" s="4"/>
      <c r="I108" s="4">
        <f t="shared" si="20"/>
        <v>0</v>
      </c>
      <c r="J108" s="4">
        <f t="shared" si="21"/>
        <v>0</v>
      </c>
      <c r="K108" s="4">
        <f t="shared" si="22"/>
        <v>0</v>
      </c>
      <c r="L108" s="4"/>
      <c r="M108" s="14">
        <v>0</v>
      </c>
      <c r="N108" s="14">
        <v>0</v>
      </c>
      <c r="O108" s="14">
        <v>0</v>
      </c>
      <c r="P108" s="4"/>
      <c r="Q108" s="14">
        <v>0</v>
      </c>
      <c r="R108" s="14">
        <v>0</v>
      </c>
      <c r="S108" s="14">
        <v>0</v>
      </c>
    </row>
    <row r="109" spans="1:19" ht="12.75">
      <c r="A109" s="5">
        <f t="shared" si="16"/>
        <v>95</v>
      </c>
      <c r="B109" s="15" t="s">
        <v>63</v>
      </c>
      <c r="C109" s="4">
        <f t="shared" si="17"/>
        <v>0</v>
      </c>
      <c r="D109" s="4">
        <f t="shared" si="18"/>
        <v>0</v>
      </c>
      <c r="E109" s="4"/>
      <c r="F109" s="4"/>
      <c r="G109" s="4">
        <f t="shared" si="19"/>
        <v>0</v>
      </c>
      <c r="H109" s="4"/>
      <c r="I109" s="4">
        <f t="shared" si="20"/>
        <v>0</v>
      </c>
      <c r="J109" s="4">
        <f t="shared" si="21"/>
        <v>0</v>
      </c>
      <c r="K109" s="4">
        <f t="shared" si="22"/>
        <v>0</v>
      </c>
      <c r="L109" s="4"/>
      <c r="M109" s="14">
        <v>0</v>
      </c>
      <c r="N109" s="14">
        <v>0</v>
      </c>
      <c r="O109" s="14">
        <v>0</v>
      </c>
      <c r="P109" s="4"/>
      <c r="Q109" s="14">
        <v>0</v>
      </c>
      <c r="R109" s="14">
        <v>0</v>
      </c>
      <c r="S109" s="14">
        <v>0</v>
      </c>
    </row>
    <row r="110" spans="1:19" ht="12.75">
      <c r="A110" s="5">
        <f t="shared" si="16"/>
        <v>96</v>
      </c>
      <c r="B110" s="7" t="s">
        <v>62</v>
      </c>
      <c r="C110" s="4">
        <f t="shared" si="17"/>
        <v>0</v>
      </c>
      <c r="D110" s="4">
        <f t="shared" si="18"/>
        <v>0</v>
      </c>
      <c r="E110" s="4"/>
      <c r="F110" s="4"/>
      <c r="G110" s="4">
        <f t="shared" si="19"/>
        <v>0</v>
      </c>
      <c r="H110" s="4"/>
      <c r="I110" s="4">
        <f t="shared" si="20"/>
        <v>0</v>
      </c>
      <c r="J110" s="4">
        <f t="shared" si="21"/>
        <v>0</v>
      </c>
      <c r="K110" s="4">
        <f t="shared" si="22"/>
        <v>0</v>
      </c>
      <c r="L110" s="4"/>
      <c r="M110" s="14">
        <v>0</v>
      </c>
      <c r="N110" s="14">
        <v>0</v>
      </c>
      <c r="O110" s="14">
        <v>0</v>
      </c>
      <c r="P110" s="4"/>
      <c r="Q110" s="14">
        <v>0</v>
      </c>
      <c r="R110" s="14">
        <v>0</v>
      </c>
      <c r="S110" s="14">
        <v>0</v>
      </c>
    </row>
    <row r="111" spans="1:19" ht="12.75">
      <c r="A111" s="5">
        <f t="shared" si="16"/>
        <v>97</v>
      </c>
      <c r="B111" s="7" t="s">
        <v>61</v>
      </c>
      <c r="C111" s="4">
        <f t="shared" si="17"/>
        <v>-3283271.29</v>
      </c>
      <c r="D111" s="4">
        <f t="shared" si="18"/>
        <v>-2581218.44</v>
      </c>
      <c r="E111" s="4"/>
      <c r="F111" s="4"/>
      <c r="G111" s="4">
        <f t="shared" si="19"/>
        <v>-2932245</v>
      </c>
      <c r="H111" s="4"/>
      <c r="I111" s="4">
        <f t="shared" si="20"/>
        <v>-3793054.48</v>
      </c>
      <c r="J111" s="4">
        <f t="shared" si="21"/>
        <v>135183.40000000002</v>
      </c>
      <c r="K111" s="4">
        <f t="shared" si="22"/>
        <v>725626.215</v>
      </c>
      <c r="L111" s="4"/>
      <c r="M111" s="14">
        <v>-3987570.09</v>
      </c>
      <c r="N111" s="14">
        <v>110604.6</v>
      </c>
      <c r="O111" s="14">
        <v>593694.2</v>
      </c>
      <c r="P111" s="4"/>
      <c r="Q111" s="14">
        <v>-3598538.87</v>
      </c>
      <c r="R111" s="14">
        <v>159762.2</v>
      </c>
      <c r="S111" s="14">
        <v>857558.23</v>
      </c>
    </row>
    <row r="112" spans="1:19" ht="12.75">
      <c r="A112" s="5">
        <f aca="true" t="shared" si="23" ref="A112:A143">A111+1</f>
        <v>98</v>
      </c>
      <c r="B112" s="7" t="s">
        <v>60</v>
      </c>
      <c r="C112" s="4">
        <f t="shared" si="17"/>
        <v>603750.02</v>
      </c>
      <c r="D112" s="4">
        <f t="shared" si="18"/>
        <v>1006250.01</v>
      </c>
      <c r="E112" s="4"/>
      <c r="F112" s="4"/>
      <c r="G112" s="4">
        <f t="shared" si="19"/>
        <v>805000</v>
      </c>
      <c r="H112" s="4"/>
      <c r="I112" s="4">
        <f t="shared" si="20"/>
        <v>805000.015</v>
      </c>
      <c r="J112" s="4">
        <f t="shared" si="21"/>
        <v>0</v>
      </c>
      <c r="K112" s="4">
        <f t="shared" si="22"/>
        <v>0</v>
      </c>
      <c r="L112" s="4"/>
      <c r="M112" s="14">
        <v>603750.02</v>
      </c>
      <c r="N112" s="14">
        <v>0</v>
      </c>
      <c r="O112" s="14">
        <v>0</v>
      </c>
      <c r="P112" s="4"/>
      <c r="Q112" s="14">
        <v>1006250.01</v>
      </c>
      <c r="R112" s="14">
        <v>0</v>
      </c>
      <c r="S112" s="14">
        <v>0</v>
      </c>
    </row>
    <row r="113" spans="1:19" ht="12.75">
      <c r="A113" s="5">
        <f t="shared" si="23"/>
        <v>99</v>
      </c>
      <c r="B113" s="7" t="s">
        <v>59</v>
      </c>
      <c r="C113" s="4">
        <f t="shared" si="17"/>
        <v>0</v>
      </c>
      <c r="D113" s="4">
        <f t="shared" si="18"/>
        <v>0</v>
      </c>
      <c r="E113" s="4"/>
      <c r="F113" s="4"/>
      <c r="G113" s="4">
        <f t="shared" si="19"/>
        <v>0</v>
      </c>
      <c r="H113" s="4"/>
      <c r="I113" s="4">
        <f t="shared" si="20"/>
        <v>0</v>
      </c>
      <c r="J113" s="4">
        <f t="shared" si="21"/>
        <v>0</v>
      </c>
      <c r="K113" s="4">
        <f t="shared" si="22"/>
        <v>0</v>
      </c>
      <c r="L113" s="4"/>
      <c r="M113" s="14">
        <v>0</v>
      </c>
      <c r="N113" s="14">
        <v>0</v>
      </c>
      <c r="O113" s="14">
        <v>0</v>
      </c>
      <c r="P113" s="4"/>
      <c r="Q113" s="14">
        <v>0</v>
      </c>
      <c r="R113" s="14">
        <v>0</v>
      </c>
      <c r="S113" s="14">
        <v>0</v>
      </c>
    </row>
    <row r="114" spans="1:19" ht="12.75">
      <c r="A114" s="5">
        <f t="shared" si="23"/>
        <v>100</v>
      </c>
      <c r="B114" s="7" t="s">
        <v>58</v>
      </c>
      <c r="C114" s="4">
        <f t="shared" si="17"/>
        <v>413001.07</v>
      </c>
      <c r="D114" s="4">
        <f t="shared" si="18"/>
        <v>450546.63</v>
      </c>
      <c r="E114" s="4"/>
      <c r="F114" s="4"/>
      <c r="G114" s="4">
        <f t="shared" si="19"/>
        <v>431774</v>
      </c>
      <c r="H114" s="4"/>
      <c r="I114" s="4">
        <f t="shared" si="20"/>
        <v>431773.85</v>
      </c>
      <c r="J114" s="4">
        <f t="shared" si="21"/>
        <v>0</v>
      </c>
      <c r="K114" s="4">
        <f t="shared" si="22"/>
        <v>0</v>
      </c>
      <c r="L114" s="4"/>
      <c r="M114" s="14">
        <v>413001.07</v>
      </c>
      <c r="N114" s="14">
        <v>0</v>
      </c>
      <c r="O114" s="14">
        <v>0</v>
      </c>
      <c r="P114" s="4"/>
      <c r="Q114" s="14">
        <v>450546.63</v>
      </c>
      <c r="R114" s="14">
        <v>0</v>
      </c>
      <c r="S114" s="14">
        <v>0</v>
      </c>
    </row>
    <row r="115" spans="1:19" ht="12.75">
      <c r="A115" s="5">
        <f t="shared" si="23"/>
        <v>101</v>
      </c>
      <c r="B115" s="7" t="s">
        <v>57</v>
      </c>
      <c r="C115" s="4">
        <f t="shared" si="17"/>
        <v>4457806.99</v>
      </c>
      <c r="D115" s="4">
        <f t="shared" si="18"/>
        <v>3076706.43</v>
      </c>
      <c r="E115" s="4"/>
      <c r="F115" s="4"/>
      <c r="G115" s="4">
        <f t="shared" si="19"/>
        <v>3767257</v>
      </c>
      <c r="H115" s="4"/>
      <c r="I115" s="4">
        <f t="shared" si="20"/>
        <v>0</v>
      </c>
      <c r="J115" s="4">
        <f t="shared" si="21"/>
        <v>0</v>
      </c>
      <c r="K115" s="4">
        <f t="shared" si="22"/>
        <v>3767256.71</v>
      </c>
      <c r="L115" s="4"/>
      <c r="M115" s="14">
        <v>0</v>
      </c>
      <c r="N115" s="14">
        <v>0</v>
      </c>
      <c r="O115" s="14">
        <v>4457806.99</v>
      </c>
      <c r="P115" s="4"/>
      <c r="Q115" s="14">
        <v>0</v>
      </c>
      <c r="R115" s="14">
        <v>0</v>
      </c>
      <c r="S115" s="14">
        <v>3076706.43</v>
      </c>
    </row>
    <row r="116" spans="1:19" ht="12.75">
      <c r="A116" s="5">
        <f t="shared" si="23"/>
        <v>102</v>
      </c>
      <c r="B116" s="7" t="s">
        <v>56</v>
      </c>
      <c r="C116" s="4">
        <f t="shared" si="17"/>
        <v>0</v>
      </c>
      <c r="D116" s="4">
        <f t="shared" si="18"/>
        <v>0</v>
      </c>
      <c r="E116" s="4"/>
      <c r="F116" s="4"/>
      <c r="G116" s="4">
        <f t="shared" si="19"/>
        <v>0</v>
      </c>
      <c r="H116" s="4"/>
      <c r="I116" s="4">
        <f t="shared" si="20"/>
        <v>0</v>
      </c>
      <c r="J116" s="4">
        <f t="shared" si="21"/>
        <v>0</v>
      </c>
      <c r="K116" s="4">
        <f t="shared" si="22"/>
        <v>0</v>
      </c>
      <c r="L116" s="4"/>
      <c r="M116" s="14">
        <v>0</v>
      </c>
      <c r="N116" s="14">
        <v>0</v>
      </c>
      <c r="O116" s="14">
        <v>0</v>
      </c>
      <c r="P116" s="4"/>
      <c r="Q116" s="14">
        <v>0</v>
      </c>
      <c r="R116" s="14">
        <v>0</v>
      </c>
      <c r="S116" s="14">
        <v>0</v>
      </c>
    </row>
    <row r="117" spans="1:19" ht="12.75">
      <c r="A117" s="5">
        <f t="shared" si="23"/>
        <v>103</v>
      </c>
      <c r="B117" s="7" t="s">
        <v>55</v>
      </c>
      <c r="C117" s="4">
        <f t="shared" si="17"/>
        <v>1571577.18</v>
      </c>
      <c r="D117" s="4">
        <f t="shared" si="18"/>
        <v>943748.5</v>
      </c>
      <c r="E117" s="4"/>
      <c r="F117" s="4"/>
      <c r="G117" s="4">
        <f t="shared" si="19"/>
        <v>1257663</v>
      </c>
      <c r="H117" s="4"/>
      <c r="I117" s="4">
        <f t="shared" si="20"/>
        <v>1257662.8399999999</v>
      </c>
      <c r="J117" s="4">
        <f t="shared" si="21"/>
        <v>0</v>
      </c>
      <c r="K117" s="4">
        <f t="shared" si="22"/>
        <v>0</v>
      </c>
      <c r="L117" s="4"/>
      <c r="M117" s="14">
        <v>1571577.18</v>
      </c>
      <c r="N117" s="14">
        <v>0</v>
      </c>
      <c r="O117" s="14">
        <v>0</v>
      </c>
      <c r="P117" s="4"/>
      <c r="Q117" s="14">
        <v>943748.5</v>
      </c>
      <c r="R117" s="14">
        <v>0</v>
      </c>
      <c r="S117" s="14">
        <v>0</v>
      </c>
    </row>
    <row r="118" spans="1:19" ht="12.75">
      <c r="A118" s="5">
        <f t="shared" si="23"/>
        <v>104</v>
      </c>
      <c r="B118" s="7" t="s">
        <v>54</v>
      </c>
      <c r="C118" s="4">
        <f t="shared" si="17"/>
        <v>282167</v>
      </c>
      <c r="D118" s="4">
        <f t="shared" si="18"/>
        <v>513340.06</v>
      </c>
      <c r="E118" s="4"/>
      <c r="F118" s="4"/>
      <c r="G118" s="4">
        <f t="shared" si="19"/>
        <v>397754</v>
      </c>
      <c r="H118" s="4"/>
      <c r="I118" s="4">
        <f t="shared" si="20"/>
        <v>397753.53</v>
      </c>
      <c r="J118" s="4">
        <f t="shared" si="21"/>
        <v>0</v>
      </c>
      <c r="K118" s="4">
        <f t="shared" si="22"/>
        <v>0</v>
      </c>
      <c r="L118" s="4"/>
      <c r="M118" s="14">
        <v>282167</v>
      </c>
      <c r="N118" s="14">
        <v>0</v>
      </c>
      <c r="O118" s="14">
        <v>0</v>
      </c>
      <c r="P118" s="4"/>
      <c r="Q118" s="14">
        <v>513340.06</v>
      </c>
      <c r="R118" s="14">
        <v>0</v>
      </c>
      <c r="S118" s="14">
        <v>0</v>
      </c>
    </row>
    <row r="119" spans="1:19" ht="12.75">
      <c r="A119" s="5">
        <f t="shared" si="23"/>
        <v>105</v>
      </c>
      <c r="B119" s="7" t="s">
        <v>53</v>
      </c>
      <c r="C119" s="4">
        <f t="shared" si="17"/>
        <v>-53839.42</v>
      </c>
      <c r="D119" s="4">
        <f t="shared" si="18"/>
        <v>-115862.73</v>
      </c>
      <c r="E119" s="4"/>
      <c r="F119" s="4"/>
      <c r="G119" s="4">
        <f t="shared" si="19"/>
        <v>-84851</v>
      </c>
      <c r="H119" s="4"/>
      <c r="I119" s="4">
        <f t="shared" si="20"/>
        <v>-84851.075</v>
      </c>
      <c r="J119" s="4">
        <f t="shared" si="21"/>
        <v>0</v>
      </c>
      <c r="K119" s="4">
        <f t="shared" si="22"/>
        <v>0</v>
      </c>
      <c r="L119" s="4"/>
      <c r="M119" s="14">
        <v>-53839.42</v>
      </c>
      <c r="N119" s="14">
        <v>0</v>
      </c>
      <c r="O119" s="14">
        <v>0</v>
      </c>
      <c r="P119" s="4"/>
      <c r="Q119" s="14">
        <v>-115862.73</v>
      </c>
      <c r="R119" s="14">
        <v>0</v>
      </c>
      <c r="S119" s="14">
        <v>0</v>
      </c>
    </row>
    <row r="120" spans="1:19" ht="12.75">
      <c r="A120" s="5">
        <f t="shared" si="23"/>
        <v>106</v>
      </c>
      <c r="B120" s="7" t="s">
        <v>52</v>
      </c>
      <c r="C120" s="4">
        <f t="shared" si="17"/>
        <v>0</v>
      </c>
      <c r="D120" s="4">
        <f t="shared" si="18"/>
        <v>0</v>
      </c>
      <c r="E120" s="4"/>
      <c r="F120" s="4"/>
      <c r="G120" s="4">
        <f t="shared" si="19"/>
        <v>0</v>
      </c>
      <c r="H120" s="4"/>
      <c r="I120" s="4">
        <f t="shared" si="20"/>
        <v>0</v>
      </c>
      <c r="J120" s="4">
        <f t="shared" si="21"/>
        <v>0</v>
      </c>
      <c r="K120" s="4">
        <f t="shared" si="22"/>
        <v>0</v>
      </c>
      <c r="L120" s="4"/>
      <c r="M120" s="14">
        <v>0</v>
      </c>
      <c r="N120" s="14">
        <v>0</v>
      </c>
      <c r="O120" s="14">
        <v>0</v>
      </c>
      <c r="P120" s="4"/>
      <c r="Q120" s="14">
        <v>0</v>
      </c>
      <c r="R120" s="14">
        <v>0</v>
      </c>
      <c r="S120" s="14">
        <v>0</v>
      </c>
    </row>
    <row r="121" spans="1:19" ht="12.75">
      <c r="A121" s="5">
        <f t="shared" si="23"/>
        <v>107</v>
      </c>
      <c r="B121" s="7" t="s">
        <v>51</v>
      </c>
      <c r="C121" s="4">
        <f t="shared" si="17"/>
        <v>0</v>
      </c>
      <c r="D121" s="4">
        <f t="shared" si="18"/>
        <v>0</v>
      </c>
      <c r="E121" s="4"/>
      <c r="F121" s="4"/>
      <c r="G121" s="4">
        <f t="shared" si="19"/>
        <v>0</v>
      </c>
      <c r="H121" s="4"/>
      <c r="I121" s="4">
        <f t="shared" si="20"/>
        <v>0</v>
      </c>
      <c r="J121" s="4">
        <f t="shared" si="21"/>
        <v>0</v>
      </c>
      <c r="K121" s="4">
        <f t="shared" si="22"/>
        <v>0</v>
      </c>
      <c r="L121" s="4"/>
      <c r="M121" s="14">
        <v>0</v>
      </c>
      <c r="N121" s="14">
        <v>0</v>
      </c>
      <c r="O121" s="14">
        <v>0</v>
      </c>
      <c r="P121" s="4"/>
      <c r="Q121" s="14">
        <v>0</v>
      </c>
      <c r="R121" s="14">
        <v>0</v>
      </c>
      <c r="S121" s="14">
        <v>0</v>
      </c>
    </row>
    <row r="122" spans="1:19" ht="12.75">
      <c r="A122" s="5">
        <f t="shared" si="23"/>
        <v>108</v>
      </c>
      <c r="B122" s="7" t="s">
        <v>50</v>
      </c>
      <c r="C122" s="4">
        <f t="shared" si="17"/>
        <v>0</v>
      </c>
      <c r="D122" s="4">
        <f t="shared" si="18"/>
        <v>-0.01</v>
      </c>
      <c r="E122" s="4"/>
      <c r="F122" s="4"/>
      <c r="G122" s="4">
        <f t="shared" si="19"/>
        <v>0</v>
      </c>
      <c r="H122" s="4"/>
      <c r="I122" s="4">
        <f t="shared" si="20"/>
        <v>-0.005</v>
      </c>
      <c r="J122" s="4">
        <f t="shared" si="21"/>
        <v>0</v>
      </c>
      <c r="K122" s="4">
        <f t="shared" si="22"/>
        <v>0</v>
      </c>
      <c r="L122" s="4"/>
      <c r="M122" s="14">
        <v>0</v>
      </c>
      <c r="N122" s="14">
        <v>0</v>
      </c>
      <c r="O122" s="14">
        <v>0</v>
      </c>
      <c r="P122" s="4"/>
      <c r="Q122" s="14">
        <v>-0.01</v>
      </c>
      <c r="R122" s="14">
        <v>0</v>
      </c>
      <c r="S122" s="14">
        <v>0</v>
      </c>
    </row>
    <row r="123" spans="1:19" ht="12.75">
      <c r="A123" s="5">
        <f t="shared" si="23"/>
        <v>109</v>
      </c>
      <c r="B123" s="7" t="s">
        <v>49</v>
      </c>
      <c r="C123" s="4">
        <f t="shared" si="17"/>
        <v>0</v>
      </c>
      <c r="D123" s="4">
        <f t="shared" si="18"/>
        <v>0</v>
      </c>
      <c r="E123" s="4"/>
      <c r="F123" s="4"/>
      <c r="G123" s="4">
        <f t="shared" si="19"/>
        <v>0</v>
      </c>
      <c r="H123" s="4"/>
      <c r="I123" s="4">
        <f t="shared" si="20"/>
        <v>0</v>
      </c>
      <c r="J123" s="4">
        <f t="shared" si="21"/>
        <v>0</v>
      </c>
      <c r="K123" s="4">
        <f t="shared" si="22"/>
        <v>0</v>
      </c>
      <c r="L123" s="4"/>
      <c r="M123" s="14">
        <v>0</v>
      </c>
      <c r="N123" s="14">
        <v>0</v>
      </c>
      <c r="O123" s="14">
        <v>0</v>
      </c>
      <c r="P123" s="4"/>
      <c r="Q123" s="14">
        <v>0</v>
      </c>
      <c r="R123" s="14">
        <v>0</v>
      </c>
      <c r="S123" s="14">
        <v>0</v>
      </c>
    </row>
    <row r="124" spans="1:19" ht="12.75">
      <c r="A124" s="5">
        <f t="shared" si="23"/>
        <v>110</v>
      </c>
      <c r="B124" s="7" t="s">
        <v>48</v>
      </c>
      <c r="C124" s="4">
        <f t="shared" si="17"/>
        <v>0</v>
      </c>
      <c r="D124" s="4">
        <f t="shared" si="18"/>
        <v>8978.64</v>
      </c>
      <c r="E124" s="4"/>
      <c r="F124" s="4"/>
      <c r="G124" s="4">
        <f t="shared" si="19"/>
        <v>4489</v>
      </c>
      <c r="H124" s="4"/>
      <c r="I124" s="4">
        <f t="shared" si="20"/>
        <v>1705.915</v>
      </c>
      <c r="J124" s="4">
        <f t="shared" si="21"/>
        <v>0</v>
      </c>
      <c r="K124" s="4">
        <f t="shared" si="22"/>
        <v>2783.405</v>
      </c>
      <c r="L124" s="4"/>
      <c r="M124" s="14">
        <v>0</v>
      </c>
      <c r="N124" s="14">
        <v>0</v>
      </c>
      <c r="O124" s="14">
        <v>0</v>
      </c>
      <c r="P124" s="4"/>
      <c r="Q124" s="14">
        <v>3411.83</v>
      </c>
      <c r="R124" s="14">
        <v>0</v>
      </c>
      <c r="S124" s="14">
        <v>5566.81</v>
      </c>
    </row>
    <row r="125" spans="1:19" ht="12.75">
      <c r="A125" s="5">
        <f t="shared" si="23"/>
        <v>111</v>
      </c>
      <c r="B125" s="7" t="s">
        <v>47</v>
      </c>
      <c r="C125" s="4">
        <f t="shared" si="17"/>
        <v>10694910.45</v>
      </c>
      <c r="D125" s="4">
        <f t="shared" si="18"/>
        <v>6578573.4</v>
      </c>
      <c r="E125" s="4"/>
      <c r="F125" s="4"/>
      <c r="G125" s="4">
        <f t="shared" si="19"/>
        <v>8636742</v>
      </c>
      <c r="H125" s="4"/>
      <c r="I125" s="4">
        <f t="shared" si="20"/>
        <v>0</v>
      </c>
      <c r="J125" s="4">
        <f t="shared" si="21"/>
        <v>0</v>
      </c>
      <c r="K125" s="4">
        <f t="shared" si="22"/>
        <v>8636741.925</v>
      </c>
      <c r="L125" s="4"/>
      <c r="M125" s="14">
        <v>0</v>
      </c>
      <c r="N125" s="14">
        <v>0</v>
      </c>
      <c r="O125" s="14">
        <v>10694910.45</v>
      </c>
      <c r="P125" s="4"/>
      <c r="Q125" s="14">
        <v>0</v>
      </c>
      <c r="R125" s="14">
        <v>0</v>
      </c>
      <c r="S125" s="14">
        <v>6578573.4</v>
      </c>
    </row>
    <row r="126" spans="1:19" ht="12.75">
      <c r="A126" s="5">
        <f t="shared" si="23"/>
        <v>112</v>
      </c>
      <c r="B126" s="7" t="s">
        <v>46</v>
      </c>
      <c r="C126" s="4">
        <f t="shared" si="17"/>
        <v>474631.81</v>
      </c>
      <c r="D126" s="4">
        <f t="shared" si="18"/>
        <v>102411.22</v>
      </c>
      <c r="E126" s="4"/>
      <c r="F126" s="4"/>
      <c r="G126" s="4">
        <f t="shared" si="19"/>
        <v>288522</v>
      </c>
      <c r="H126" s="4"/>
      <c r="I126" s="4">
        <f t="shared" si="20"/>
        <v>0</v>
      </c>
      <c r="J126" s="4">
        <f t="shared" si="21"/>
        <v>0</v>
      </c>
      <c r="K126" s="4">
        <f t="shared" si="22"/>
        <v>288521.515</v>
      </c>
      <c r="L126" s="4"/>
      <c r="M126" s="14">
        <v>0</v>
      </c>
      <c r="N126" s="14">
        <v>0</v>
      </c>
      <c r="O126" s="14">
        <v>474631.81</v>
      </c>
      <c r="P126" s="4"/>
      <c r="Q126" s="14">
        <v>0</v>
      </c>
      <c r="R126" s="14">
        <v>0</v>
      </c>
      <c r="S126" s="14">
        <v>102411.22</v>
      </c>
    </row>
    <row r="127" spans="1:19" ht="12.75">
      <c r="A127" s="5">
        <f t="shared" si="23"/>
        <v>113</v>
      </c>
      <c r="B127" s="15" t="s">
        <v>45</v>
      </c>
      <c r="C127" s="4">
        <f t="shared" si="17"/>
        <v>0</v>
      </c>
      <c r="D127" s="4">
        <f t="shared" si="18"/>
        <v>-442722.21</v>
      </c>
      <c r="E127" s="4"/>
      <c r="F127" s="4"/>
      <c r="G127" s="4">
        <f t="shared" si="19"/>
        <v>-221361</v>
      </c>
      <c r="H127" s="4"/>
      <c r="I127" s="4">
        <f t="shared" si="20"/>
        <v>-221361.105</v>
      </c>
      <c r="J127" s="4">
        <f t="shared" si="21"/>
        <v>0</v>
      </c>
      <c r="K127" s="4">
        <f t="shared" si="22"/>
        <v>0</v>
      </c>
      <c r="L127" s="4"/>
      <c r="M127" s="14">
        <v>0</v>
      </c>
      <c r="N127" s="14">
        <v>0</v>
      </c>
      <c r="O127" s="14">
        <v>0</v>
      </c>
      <c r="P127" s="4"/>
      <c r="Q127" s="14">
        <v>-442722.21</v>
      </c>
      <c r="R127" s="14">
        <v>0</v>
      </c>
      <c r="S127" s="14">
        <v>0</v>
      </c>
    </row>
    <row r="128" spans="1:19" ht="12.75">
      <c r="A128" s="5">
        <f t="shared" si="23"/>
        <v>114</v>
      </c>
      <c r="B128" s="15" t="s">
        <v>44</v>
      </c>
      <c r="C128" s="4">
        <f t="shared" si="17"/>
        <v>0</v>
      </c>
      <c r="D128" s="4">
        <f t="shared" si="18"/>
        <v>378971.58</v>
      </c>
      <c r="E128" s="4"/>
      <c r="F128" s="4"/>
      <c r="G128" s="4">
        <f t="shared" si="19"/>
        <v>189486</v>
      </c>
      <c r="H128" s="4"/>
      <c r="I128" s="4">
        <f t="shared" si="20"/>
        <v>189485.79</v>
      </c>
      <c r="J128" s="4">
        <f t="shared" si="21"/>
        <v>0</v>
      </c>
      <c r="K128" s="4">
        <f t="shared" si="22"/>
        <v>0</v>
      </c>
      <c r="L128" s="4"/>
      <c r="M128" s="14">
        <v>0</v>
      </c>
      <c r="N128" s="14">
        <v>0</v>
      </c>
      <c r="O128" s="14">
        <v>0</v>
      </c>
      <c r="P128" s="4"/>
      <c r="Q128" s="14">
        <v>378971.58</v>
      </c>
      <c r="R128" s="14">
        <v>0</v>
      </c>
      <c r="S128" s="14">
        <v>0</v>
      </c>
    </row>
    <row r="129" spans="1:19" ht="12.75">
      <c r="A129" s="5">
        <f t="shared" si="23"/>
        <v>115</v>
      </c>
      <c r="B129" s="15" t="s">
        <v>43</v>
      </c>
      <c r="C129" s="4">
        <f t="shared" si="17"/>
        <v>0</v>
      </c>
      <c r="D129" s="4">
        <f t="shared" si="18"/>
        <v>871073.56</v>
      </c>
      <c r="E129" s="4"/>
      <c r="F129" s="4"/>
      <c r="G129" s="4">
        <f t="shared" si="19"/>
        <v>435537</v>
      </c>
      <c r="H129" s="4"/>
      <c r="I129" s="4">
        <f t="shared" si="20"/>
        <v>435536.78</v>
      </c>
      <c r="J129" s="4">
        <f t="shared" si="21"/>
        <v>0</v>
      </c>
      <c r="K129" s="4">
        <f t="shared" si="22"/>
        <v>0</v>
      </c>
      <c r="L129" s="4"/>
      <c r="M129" s="14">
        <v>0</v>
      </c>
      <c r="N129" s="14">
        <v>0</v>
      </c>
      <c r="O129" s="14">
        <v>0</v>
      </c>
      <c r="P129" s="4"/>
      <c r="Q129" s="14">
        <v>871073.56</v>
      </c>
      <c r="R129" s="14">
        <v>0</v>
      </c>
      <c r="S129" s="14">
        <v>0</v>
      </c>
    </row>
    <row r="130" spans="1:19" ht="12.75">
      <c r="A130" s="5">
        <f t="shared" si="23"/>
        <v>116</v>
      </c>
      <c r="B130" s="15" t="s">
        <v>42</v>
      </c>
      <c r="C130" s="4">
        <f t="shared" si="17"/>
        <v>-327303.55</v>
      </c>
      <c r="D130" s="4">
        <f t="shared" si="18"/>
        <v>-231037.8</v>
      </c>
      <c r="E130" s="4"/>
      <c r="F130" s="4"/>
      <c r="G130" s="4">
        <f t="shared" si="19"/>
        <v>-279171</v>
      </c>
      <c r="H130" s="4"/>
      <c r="I130" s="4">
        <f t="shared" si="20"/>
        <v>-279170.675</v>
      </c>
      <c r="J130" s="4">
        <f t="shared" si="21"/>
        <v>0</v>
      </c>
      <c r="K130" s="4">
        <f t="shared" si="22"/>
        <v>0</v>
      </c>
      <c r="L130" s="4"/>
      <c r="M130" s="14">
        <v>-327303.55</v>
      </c>
      <c r="N130" s="14">
        <v>0</v>
      </c>
      <c r="O130" s="14">
        <v>0</v>
      </c>
      <c r="P130" s="4"/>
      <c r="Q130" s="14">
        <v>-231037.8</v>
      </c>
      <c r="R130" s="14">
        <v>0</v>
      </c>
      <c r="S130" s="14">
        <v>0</v>
      </c>
    </row>
    <row r="131" spans="1:19" ht="12.75">
      <c r="A131" s="5">
        <f t="shared" si="23"/>
        <v>117</v>
      </c>
      <c r="B131" s="15" t="s">
        <v>41</v>
      </c>
      <c r="C131" s="4">
        <f t="shared" si="17"/>
        <v>1009881.6</v>
      </c>
      <c r="D131" s="4">
        <f t="shared" si="18"/>
        <v>712857.6</v>
      </c>
      <c r="E131" s="4"/>
      <c r="F131" s="4"/>
      <c r="G131" s="4">
        <f t="shared" si="19"/>
        <v>861370</v>
      </c>
      <c r="H131" s="4"/>
      <c r="I131" s="4">
        <f t="shared" si="20"/>
        <v>861369.6</v>
      </c>
      <c r="J131" s="4">
        <f t="shared" si="21"/>
        <v>0</v>
      </c>
      <c r="K131" s="4">
        <f t="shared" si="22"/>
        <v>0</v>
      </c>
      <c r="L131" s="4"/>
      <c r="M131" s="14">
        <v>1009881.6</v>
      </c>
      <c r="N131" s="14">
        <v>0</v>
      </c>
      <c r="O131" s="14">
        <v>0</v>
      </c>
      <c r="P131" s="4"/>
      <c r="Q131" s="14">
        <v>712857.6</v>
      </c>
      <c r="R131" s="14">
        <v>0</v>
      </c>
      <c r="S131" s="14">
        <v>0</v>
      </c>
    </row>
    <row r="132" spans="1:19" ht="12.75">
      <c r="A132" s="5">
        <f t="shared" si="23"/>
        <v>118</v>
      </c>
      <c r="B132" s="15" t="s">
        <v>40</v>
      </c>
      <c r="C132" s="4">
        <f t="shared" si="17"/>
        <v>3350678.86</v>
      </c>
      <c r="D132" s="4">
        <f t="shared" si="18"/>
        <v>3793221.36</v>
      </c>
      <c r="E132" s="4"/>
      <c r="F132" s="4"/>
      <c r="G132" s="4">
        <f t="shared" si="19"/>
        <v>3571950</v>
      </c>
      <c r="H132" s="4"/>
      <c r="I132" s="4">
        <f t="shared" si="20"/>
        <v>3571950.11</v>
      </c>
      <c r="J132" s="4">
        <f t="shared" si="21"/>
        <v>0</v>
      </c>
      <c r="K132" s="4">
        <f t="shared" si="22"/>
        <v>0</v>
      </c>
      <c r="L132" s="4"/>
      <c r="M132" s="14">
        <v>3350678.86</v>
      </c>
      <c r="N132" s="14">
        <v>0</v>
      </c>
      <c r="O132" s="14">
        <v>0</v>
      </c>
      <c r="P132" s="4"/>
      <c r="Q132" s="14">
        <v>3793221.36</v>
      </c>
      <c r="R132" s="14">
        <v>0</v>
      </c>
      <c r="S132" s="14">
        <v>0</v>
      </c>
    </row>
    <row r="133" spans="1:19" ht="12.75">
      <c r="A133" s="5">
        <f t="shared" si="23"/>
        <v>119</v>
      </c>
      <c r="B133" s="15" t="s">
        <v>39</v>
      </c>
      <c r="C133" s="4">
        <f t="shared" si="17"/>
        <v>407896.16</v>
      </c>
      <c r="D133" s="4">
        <f t="shared" si="18"/>
        <v>0</v>
      </c>
      <c r="E133" s="4"/>
      <c r="F133" s="4"/>
      <c r="G133" s="4">
        <f t="shared" si="19"/>
        <v>203948</v>
      </c>
      <c r="H133" s="4"/>
      <c r="I133" s="4">
        <f t="shared" si="20"/>
        <v>203948.08</v>
      </c>
      <c r="J133" s="4">
        <f t="shared" si="21"/>
        <v>0</v>
      </c>
      <c r="K133" s="4">
        <f t="shared" si="22"/>
        <v>0</v>
      </c>
      <c r="L133" s="4"/>
      <c r="M133" s="14">
        <v>407896.16</v>
      </c>
      <c r="N133" s="14">
        <v>0</v>
      </c>
      <c r="O133" s="14">
        <v>0</v>
      </c>
      <c r="P133" s="4"/>
      <c r="Q133" s="14">
        <v>0</v>
      </c>
      <c r="R133" s="14">
        <v>0</v>
      </c>
      <c r="S133" s="14">
        <v>0</v>
      </c>
    </row>
    <row r="134" spans="1:19" ht="12.75">
      <c r="A134" s="5">
        <f t="shared" si="23"/>
        <v>120</v>
      </c>
      <c r="B134" s="15" t="s">
        <v>38</v>
      </c>
      <c r="C134" s="4">
        <f t="shared" si="17"/>
        <v>215984.64</v>
      </c>
      <c r="D134" s="4">
        <f t="shared" si="18"/>
        <v>0</v>
      </c>
      <c r="E134" s="4"/>
      <c r="F134" s="4"/>
      <c r="G134" s="4">
        <f t="shared" si="19"/>
        <v>107992</v>
      </c>
      <c r="H134" s="4"/>
      <c r="I134" s="4">
        <f t="shared" si="20"/>
        <v>107992.32</v>
      </c>
      <c r="J134" s="4">
        <f t="shared" si="21"/>
        <v>0</v>
      </c>
      <c r="K134" s="4">
        <f t="shared" si="22"/>
        <v>0</v>
      </c>
      <c r="L134" s="4"/>
      <c r="M134" s="14">
        <v>215984.64</v>
      </c>
      <c r="N134" s="14">
        <v>0</v>
      </c>
      <c r="O134" s="14">
        <v>0</v>
      </c>
      <c r="P134" s="4"/>
      <c r="Q134" s="14">
        <v>0</v>
      </c>
      <c r="R134" s="14">
        <v>0</v>
      </c>
      <c r="S134" s="14">
        <v>0</v>
      </c>
    </row>
    <row r="135" spans="1:19" ht="12.75">
      <c r="A135" s="5">
        <f t="shared" si="23"/>
        <v>121</v>
      </c>
      <c r="B135" s="15" t="s">
        <v>37</v>
      </c>
      <c r="C135" s="4">
        <f t="shared" si="17"/>
        <v>11440930.54</v>
      </c>
      <c r="D135" s="4">
        <f t="shared" si="18"/>
        <v>0</v>
      </c>
      <c r="E135" s="4"/>
      <c r="F135" s="4"/>
      <c r="G135" s="4">
        <f t="shared" si="19"/>
        <v>5720465</v>
      </c>
      <c r="H135" s="4"/>
      <c r="I135" s="4">
        <f t="shared" si="20"/>
        <v>5720465.27</v>
      </c>
      <c r="J135" s="4">
        <f t="shared" si="21"/>
        <v>0</v>
      </c>
      <c r="K135" s="4">
        <f t="shared" si="22"/>
        <v>0</v>
      </c>
      <c r="L135" s="4"/>
      <c r="M135" s="14">
        <v>11440930.54</v>
      </c>
      <c r="N135" s="14">
        <v>0</v>
      </c>
      <c r="O135" s="14">
        <v>0</v>
      </c>
      <c r="P135" s="4"/>
      <c r="Q135" s="14">
        <v>0</v>
      </c>
      <c r="R135" s="14">
        <v>0</v>
      </c>
      <c r="S135" s="14">
        <v>0</v>
      </c>
    </row>
    <row r="136" spans="1:19" ht="12.75">
      <c r="A136" s="5">
        <f t="shared" si="23"/>
        <v>122</v>
      </c>
      <c r="B136" s="15" t="s">
        <v>36</v>
      </c>
      <c r="C136" s="4">
        <f aca="true" t="shared" si="24" ref="C136:C155">SUM(M136:O136)</f>
        <v>16678000.3</v>
      </c>
      <c r="D136" s="4">
        <f aca="true" t="shared" si="25" ref="D136:D155">SUM(Q136:S136)</f>
        <v>0</v>
      </c>
      <c r="E136" s="4"/>
      <c r="F136" s="4"/>
      <c r="G136" s="4">
        <f aca="true" t="shared" si="26" ref="G136:G161">ROUND(SUM(C136:F136)/2,0)</f>
        <v>8339000</v>
      </c>
      <c r="H136" s="4"/>
      <c r="I136" s="4">
        <f aca="true" t="shared" si="27" ref="I136:I155">(M136+Q136)/2</f>
        <v>8339000.15</v>
      </c>
      <c r="J136" s="4">
        <f aca="true" t="shared" si="28" ref="J136:J155">(N136+R136)/2</f>
        <v>0</v>
      </c>
      <c r="K136" s="4">
        <f aca="true" t="shared" si="29" ref="K136:K155">(O136+S136)/2</f>
        <v>0</v>
      </c>
      <c r="L136" s="4"/>
      <c r="M136" s="14">
        <v>16678000.3</v>
      </c>
      <c r="N136" s="14">
        <v>0</v>
      </c>
      <c r="O136" s="14">
        <v>0</v>
      </c>
      <c r="P136" s="4"/>
      <c r="Q136" s="14">
        <v>0</v>
      </c>
      <c r="R136" s="14">
        <v>0</v>
      </c>
      <c r="S136" s="14">
        <v>0</v>
      </c>
    </row>
    <row r="137" spans="1:19" ht="12.75">
      <c r="A137" s="5">
        <f t="shared" si="23"/>
        <v>123</v>
      </c>
      <c r="B137" s="15" t="s">
        <v>35</v>
      </c>
      <c r="C137" s="4">
        <f t="shared" si="24"/>
        <v>9557</v>
      </c>
      <c r="D137" s="4">
        <f t="shared" si="25"/>
        <v>0</v>
      </c>
      <c r="E137" s="4"/>
      <c r="F137" s="4"/>
      <c r="G137" s="4">
        <f t="shared" si="26"/>
        <v>4779</v>
      </c>
      <c r="H137" s="4"/>
      <c r="I137" s="4">
        <f t="shared" si="27"/>
        <v>4778.5</v>
      </c>
      <c r="J137" s="4">
        <f t="shared" si="28"/>
        <v>0</v>
      </c>
      <c r="K137" s="4">
        <f t="shared" si="29"/>
        <v>0</v>
      </c>
      <c r="L137" s="4"/>
      <c r="M137" s="14">
        <v>9557</v>
      </c>
      <c r="N137" s="14">
        <v>0</v>
      </c>
      <c r="O137" s="14">
        <v>0</v>
      </c>
      <c r="P137" s="4"/>
      <c r="Q137" s="14">
        <v>0</v>
      </c>
      <c r="R137" s="14">
        <v>0</v>
      </c>
      <c r="S137" s="14">
        <v>0</v>
      </c>
    </row>
    <row r="138" spans="1:19" ht="12.75">
      <c r="A138" s="5">
        <f t="shared" si="23"/>
        <v>124</v>
      </c>
      <c r="B138" s="15" t="s">
        <v>34</v>
      </c>
      <c r="C138" s="4">
        <f t="shared" si="24"/>
        <v>3147405.74</v>
      </c>
      <c r="D138" s="4">
        <f t="shared" si="25"/>
        <v>0</v>
      </c>
      <c r="E138" s="4"/>
      <c r="F138" s="4"/>
      <c r="G138" s="4">
        <f t="shared" si="26"/>
        <v>1573703</v>
      </c>
      <c r="H138" s="4"/>
      <c r="I138" s="4">
        <f t="shared" si="27"/>
        <v>1573702.87</v>
      </c>
      <c r="J138" s="4">
        <f t="shared" si="28"/>
        <v>0</v>
      </c>
      <c r="K138" s="4">
        <f t="shared" si="29"/>
        <v>0</v>
      </c>
      <c r="L138" s="4"/>
      <c r="M138" s="14">
        <v>3147405.74</v>
      </c>
      <c r="N138" s="14">
        <v>0</v>
      </c>
      <c r="O138" s="14">
        <v>0</v>
      </c>
      <c r="P138" s="4"/>
      <c r="Q138" s="14">
        <v>0</v>
      </c>
      <c r="R138" s="14">
        <v>0</v>
      </c>
      <c r="S138" s="14">
        <v>0</v>
      </c>
    </row>
    <row r="139" spans="1:19" ht="12.75">
      <c r="A139" s="5">
        <f t="shared" si="23"/>
        <v>125</v>
      </c>
      <c r="B139" s="15" t="s">
        <v>33</v>
      </c>
      <c r="C139" s="4">
        <f t="shared" si="24"/>
        <v>8960200.73</v>
      </c>
      <c r="D139" s="4">
        <f t="shared" si="25"/>
        <v>0</v>
      </c>
      <c r="E139" s="4"/>
      <c r="F139" s="4"/>
      <c r="G139" s="4">
        <f t="shared" si="26"/>
        <v>4480100</v>
      </c>
      <c r="H139" s="4"/>
      <c r="I139" s="4">
        <f t="shared" si="27"/>
        <v>4480100.365</v>
      </c>
      <c r="J139" s="4">
        <f t="shared" si="28"/>
        <v>0</v>
      </c>
      <c r="K139" s="4">
        <f t="shared" si="29"/>
        <v>0</v>
      </c>
      <c r="L139" s="4"/>
      <c r="M139" s="14">
        <v>8960200.73</v>
      </c>
      <c r="N139" s="14">
        <v>0</v>
      </c>
      <c r="O139" s="14">
        <v>0</v>
      </c>
      <c r="P139" s="4"/>
      <c r="Q139" s="14">
        <v>0</v>
      </c>
      <c r="R139" s="14">
        <v>0</v>
      </c>
      <c r="S139" s="14">
        <v>0</v>
      </c>
    </row>
    <row r="140" spans="1:19" ht="12.75">
      <c r="A140" s="5">
        <f t="shared" si="23"/>
        <v>126</v>
      </c>
      <c r="B140" s="15" t="s">
        <v>32</v>
      </c>
      <c r="C140" s="4">
        <f t="shared" si="24"/>
        <v>1529235.48</v>
      </c>
      <c r="D140" s="4">
        <f t="shared" si="25"/>
        <v>0</v>
      </c>
      <c r="E140" s="4"/>
      <c r="F140" s="4"/>
      <c r="G140" s="4">
        <f t="shared" si="26"/>
        <v>764618</v>
      </c>
      <c r="H140" s="4"/>
      <c r="I140" s="4">
        <f t="shared" si="27"/>
        <v>764617.74</v>
      </c>
      <c r="J140" s="4">
        <f t="shared" si="28"/>
        <v>0</v>
      </c>
      <c r="K140" s="4">
        <f t="shared" si="29"/>
        <v>0</v>
      </c>
      <c r="L140" s="4"/>
      <c r="M140" s="14">
        <v>1529235.48</v>
      </c>
      <c r="N140" s="14">
        <v>0</v>
      </c>
      <c r="O140" s="14">
        <v>0</v>
      </c>
      <c r="P140" s="4"/>
      <c r="Q140" s="14">
        <v>0</v>
      </c>
      <c r="R140" s="14">
        <v>0</v>
      </c>
      <c r="S140" s="14">
        <v>0</v>
      </c>
    </row>
    <row r="141" spans="1:19" ht="12.75">
      <c r="A141" s="5">
        <f t="shared" si="23"/>
        <v>127</v>
      </c>
      <c r="B141" s="15" t="s">
        <v>31</v>
      </c>
      <c r="C141" s="4">
        <f t="shared" si="24"/>
        <v>1221208.34</v>
      </c>
      <c r="D141" s="4">
        <f t="shared" si="25"/>
        <v>0</v>
      </c>
      <c r="E141" s="4"/>
      <c r="F141" s="4"/>
      <c r="G141" s="4">
        <f t="shared" si="26"/>
        <v>610604</v>
      </c>
      <c r="H141" s="4"/>
      <c r="I141" s="4">
        <f t="shared" si="27"/>
        <v>0</v>
      </c>
      <c r="J141" s="4">
        <f t="shared" si="28"/>
        <v>0</v>
      </c>
      <c r="K141" s="4">
        <f t="shared" si="29"/>
        <v>610604.17</v>
      </c>
      <c r="L141" s="4"/>
      <c r="M141" s="14">
        <v>0</v>
      </c>
      <c r="N141" s="14">
        <v>0</v>
      </c>
      <c r="O141" s="14">
        <v>1221208.34</v>
      </c>
      <c r="P141" s="4"/>
      <c r="Q141" s="14">
        <v>0</v>
      </c>
      <c r="R141" s="14">
        <v>0</v>
      </c>
      <c r="S141" s="14">
        <v>0</v>
      </c>
    </row>
    <row r="142" spans="1:19" ht="12.75">
      <c r="A142" s="5">
        <f t="shared" si="23"/>
        <v>128</v>
      </c>
      <c r="B142" s="15" t="s">
        <v>30</v>
      </c>
      <c r="C142" s="4">
        <f t="shared" si="24"/>
        <v>-243789.53</v>
      </c>
      <c r="D142" s="4">
        <f t="shared" si="25"/>
        <v>0</v>
      </c>
      <c r="E142" s="4"/>
      <c r="F142" s="4"/>
      <c r="G142" s="4">
        <f t="shared" si="26"/>
        <v>-121895</v>
      </c>
      <c r="H142" s="4"/>
      <c r="I142" s="4">
        <f t="shared" si="27"/>
        <v>0</v>
      </c>
      <c r="J142" s="4">
        <f t="shared" si="28"/>
        <v>0</v>
      </c>
      <c r="K142" s="4">
        <f t="shared" si="29"/>
        <v>-121894.765</v>
      </c>
      <c r="L142" s="4"/>
      <c r="M142" s="14">
        <v>0</v>
      </c>
      <c r="N142" s="14">
        <v>0</v>
      </c>
      <c r="O142" s="14">
        <v>-243789.53</v>
      </c>
      <c r="P142" s="4"/>
      <c r="Q142" s="14">
        <v>0</v>
      </c>
      <c r="R142" s="14">
        <v>0</v>
      </c>
      <c r="S142" s="14">
        <v>0</v>
      </c>
    </row>
    <row r="143" spans="1:19" ht="12.75">
      <c r="A143" s="5">
        <f t="shared" si="23"/>
        <v>129</v>
      </c>
      <c r="B143" s="15" t="s">
        <v>29</v>
      </c>
      <c r="C143" s="4">
        <f t="shared" si="24"/>
        <v>1400.79</v>
      </c>
      <c r="D143" s="4">
        <f t="shared" si="25"/>
        <v>0</v>
      </c>
      <c r="E143" s="4"/>
      <c r="F143" s="4"/>
      <c r="G143" s="4">
        <f t="shared" si="26"/>
        <v>700</v>
      </c>
      <c r="H143" s="4"/>
      <c r="I143" s="4">
        <f t="shared" si="27"/>
        <v>0</v>
      </c>
      <c r="J143" s="4">
        <f t="shared" si="28"/>
        <v>0</v>
      </c>
      <c r="K143" s="4">
        <f t="shared" si="29"/>
        <v>700.395</v>
      </c>
      <c r="L143" s="4"/>
      <c r="M143" s="14">
        <v>0</v>
      </c>
      <c r="N143" s="14">
        <v>0</v>
      </c>
      <c r="O143" s="14">
        <v>1400.79</v>
      </c>
      <c r="P143" s="4"/>
      <c r="Q143" s="14">
        <v>0</v>
      </c>
      <c r="R143" s="14">
        <v>0</v>
      </c>
      <c r="S143" s="14">
        <v>0</v>
      </c>
    </row>
    <row r="144" spans="1:19" ht="12.75">
      <c r="A144" s="5">
        <f aca="true" t="shared" si="30" ref="A144:A175">A143+1</f>
        <v>130</v>
      </c>
      <c r="B144" s="15" t="s">
        <v>28</v>
      </c>
      <c r="C144" s="4">
        <f t="shared" si="24"/>
        <v>13705.27</v>
      </c>
      <c r="D144" s="4">
        <f t="shared" si="25"/>
        <v>0</v>
      </c>
      <c r="E144" s="4"/>
      <c r="F144" s="4"/>
      <c r="G144" s="4">
        <f t="shared" si="26"/>
        <v>6853</v>
      </c>
      <c r="H144" s="4"/>
      <c r="I144" s="4">
        <f t="shared" si="27"/>
        <v>0</v>
      </c>
      <c r="J144" s="4">
        <f t="shared" si="28"/>
        <v>0</v>
      </c>
      <c r="K144" s="4">
        <f t="shared" si="29"/>
        <v>6852.635</v>
      </c>
      <c r="L144" s="4"/>
      <c r="M144" s="14">
        <v>0</v>
      </c>
      <c r="N144" s="14">
        <v>0</v>
      </c>
      <c r="O144" s="14">
        <v>13705.27</v>
      </c>
      <c r="P144" s="4"/>
      <c r="Q144" s="14">
        <v>0</v>
      </c>
      <c r="R144" s="14">
        <v>0</v>
      </c>
      <c r="S144" s="14">
        <v>0</v>
      </c>
    </row>
    <row r="145" spans="1:19" ht="12.75">
      <c r="A145" s="5">
        <f t="shared" si="30"/>
        <v>131</v>
      </c>
      <c r="B145" s="15" t="s">
        <v>27</v>
      </c>
      <c r="C145" s="4">
        <f t="shared" si="24"/>
        <v>638.55</v>
      </c>
      <c r="D145" s="4">
        <f t="shared" si="25"/>
        <v>0</v>
      </c>
      <c r="E145" s="4"/>
      <c r="F145" s="4"/>
      <c r="G145" s="4">
        <f t="shared" si="26"/>
        <v>319</v>
      </c>
      <c r="H145" s="4"/>
      <c r="I145" s="4">
        <f t="shared" si="27"/>
        <v>0</v>
      </c>
      <c r="J145" s="4">
        <f t="shared" si="28"/>
        <v>0</v>
      </c>
      <c r="K145" s="4">
        <f t="shared" si="29"/>
        <v>319.275</v>
      </c>
      <c r="L145" s="4"/>
      <c r="M145" s="14">
        <v>0</v>
      </c>
      <c r="N145" s="14">
        <v>0</v>
      </c>
      <c r="O145" s="14">
        <v>638.55</v>
      </c>
      <c r="P145" s="4"/>
      <c r="Q145" s="14">
        <v>0</v>
      </c>
      <c r="R145" s="14">
        <v>0</v>
      </c>
      <c r="S145" s="14">
        <v>0</v>
      </c>
    </row>
    <row r="146" spans="1:19" ht="12.75">
      <c r="A146" s="5">
        <f t="shared" si="30"/>
        <v>132</v>
      </c>
      <c r="B146" s="15" t="s">
        <v>26</v>
      </c>
      <c r="C146" s="4">
        <f t="shared" si="24"/>
        <v>7110.18</v>
      </c>
      <c r="D146" s="4">
        <f t="shared" si="25"/>
        <v>0</v>
      </c>
      <c r="E146" s="4"/>
      <c r="F146" s="4"/>
      <c r="G146" s="4">
        <f t="shared" si="26"/>
        <v>3555</v>
      </c>
      <c r="H146" s="4"/>
      <c r="I146" s="4">
        <f t="shared" si="27"/>
        <v>0</v>
      </c>
      <c r="J146" s="4">
        <f t="shared" si="28"/>
        <v>0</v>
      </c>
      <c r="K146" s="4">
        <f t="shared" si="29"/>
        <v>3555.09</v>
      </c>
      <c r="L146" s="4"/>
      <c r="M146" s="14">
        <v>0</v>
      </c>
      <c r="N146" s="14">
        <v>0</v>
      </c>
      <c r="O146" s="14">
        <v>7110.18</v>
      </c>
      <c r="P146" s="4"/>
      <c r="Q146" s="14">
        <v>0</v>
      </c>
      <c r="R146" s="14">
        <v>0</v>
      </c>
      <c r="S146" s="14">
        <v>0</v>
      </c>
    </row>
    <row r="147" spans="1:19" ht="12.75">
      <c r="A147" s="5">
        <f t="shared" si="30"/>
        <v>133</v>
      </c>
      <c r="B147" s="15" t="s">
        <v>25</v>
      </c>
      <c r="C147" s="4">
        <f t="shared" si="24"/>
        <v>506.31</v>
      </c>
      <c r="D147" s="4">
        <f t="shared" si="25"/>
        <v>0</v>
      </c>
      <c r="E147" s="4"/>
      <c r="F147" s="4"/>
      <c r="G147" s="4">
        <f t="shared" si="26"/>
        <v>253</v>
      </c>
      <c r="H147" s="4"/>
      <c r="I147" s="4">
        <f t="shared" si="27"/>
        <v>0</v>
      </c>
      <c r="J147" s="4">
        <f t="shared" si="28"/>
        <v>0</v>
      </c>
      <c r="K147" s="4">
        <f t="shared" si="29"/>
        <v>253.155</v>
      </c>
      <c r="L147" s="4"/>
      <c r="M147" s="14">
        <v>0</v>
      </c>
      <c r="N147" s="14">
        <v>0</v>
      </c>
      <c r="O147" s="14">
        <v>506.31</v>
      </c>
      <c r="P147" s="4"/>
      <c r="Q147" s="14">
        <v>0</v>
      </c>
      <c r="R147" s="14">
        <v>0</v>
      </c>
      <c r="S147" s="14">
        <v>0</v>
      </c>
    </row>
    <row r="148" spans="1:19" ht="12.75">
      <c r="A148" s="5">
        <f t="shared" si="30"/>
        <v>134</v>
      </c>
      <c r="B148" s="15" t="s">
        <v>24</v>
      </c>
      <c r="C148" s="4">
        <f t="shared" si="24"/>
        <v>-2065.66</v>
      </c>
      <c r="D148" s="4">
        <f t="shared" si="25"/>
        <v>0</v>
      </c>
      <c r="E148" s="4"/>
      <c r="F148" s="4"/>
      <c r="G148" s="4">
        <f t="shared" si="26"/>
        <v>-1033</v>
      </c>
      <c r="H148" s="4"/>
      <c r="I148" s="4">
        <f t="shared" si="27"/>
        <v>0</v>
      </c>
      <c r="J148" s="4">
        <f t="shared" si="28"/>
        <v>0</v>
      </c>
      <c r="K148" s="4">
        <f t="shared" si="29"/>
        <v>-1032.83</v>
      </c>
      <c r="L148" s="4"/>
      <c r="M148" s="14">
        <v>0</v>
      </c>
      <c r="N148" s="14">
        <v>0</v>
      </c>
      <c r="O148" s="14">
        <v>-2065.66</v>
      </c>
      <c r="P148" s="4"/>
      <c r="Q148" s="14">
        <v>0</v>
      </c>
      <c r="R148" s="14">
        <v>0</v>
      </c>
      <c r="S148" s="14">
        <v>0</v>
      </c>
    </row>
    <row r="149" spans="1:19" ht="12.75">
      <c r="A149" s="5">
        <f t="shared" si="30"/>
        <v>135</v>
      </c>
      <c r="B149" s="7" t="s">
        <v>23</v>
      </c>
      <c r="C149" s="4">
        <f t="shared" si="24"/>
        <v>10602961.250000002</v>
      </c>
      <c r="D149" s="4">
        <f t="shared" si="25"/>
        <v>5127714.9</v>
      </c>
      <c r="E149" s="4"/>
      <c r="F149" s="4"/>
      <c r="G149" s="4">
        <f t="shared" si="26"/>
        <v>7865338</v>
      </c>
      <c r="H149" s="4"/>
      <c r="I149" s="4">
        <f t="shared" si="27"/>
        <v>6109760.825</v>
      </c>
      <c r="J149" s="4">
        <f t="shared" si="28"/>
        <v>325129.69999999995</v>
      </c>
      <c r="K149" s="4">
        <f t="shared" si="29"/>
        <v>1430447.5499999998</v>
      </c>
      <c r="L149" s="4"/>
      <c r="M149" s="14">
        <v>8671144.3</v>
      </c>
      <c r="N149" s="14">
        <v>331034.55</v>
      </c>
      <c r="O149" s="14">
        <v>1600782.4</v>
      </c>
      <c r="P149" s="4"/>
      <c r="Q149" s="14">
        <v>3548377.35</v>
      </c>
      <c r="R149" s="14">
        <v>319224.85</v>
      </c>
      <c r="S149" s="14">
        <v>1260112.7</v>
      </c>
    </row>
    <row r="150" spans="1:19" ht="12.75">
      <c r="A150" s="5">
        <f t="shared" si="30"/>
        <v>136</v>
      </c>
      <c r="B150" s="7" t="s">
        <v>22</v>
      </c>
      <c r="C150" s="4">
        <f t="shared" si="24"/>
        <v>14283400.149999999</v>
      </c>
      <c r="D150" s="4">
        <f t="shared" si="25"/>
        <v>12300482.850000001</v>
      </c>
      <c r="E150" s="4"/>
      <c r="F150" s="4"/>
      <c r="G150" s="4">
        <f t="shared" si="26"/>
        <v>13291942</v>
      </c>
      <c r="H150" s="4"/>
      <c r="I150" s="4">
        <f t="shared" si="27"/>
        <v>4839426.17</v>
      </c>
      <c r="J150" s="4">
        <f t="shared" si="28"/>
        <v>2753303.505</v>
      </c>
      <c r="K150" s="4">
        <f t="shared" si="29"/>
        <v>5699211.824999999</v>
      </c>
      <c r="L150" s="4"/>
      <c r="M150" s="14">
        <v>5132474.52</v>
      </c>
      <c r="N150" s="14">
        <v>2955773.78</v>
      </c>
      <c r="O150" s="14">
        <v>6195151.85</v>
      </c>
      <c r="P150" s="4"/>
      <c r="Q150" s="14">
        <v>4546377.82</v>
      </c>
      <c r="R150" s="14">
        <v>2550833.23</v>
      </c>
      <c r="S150" s="14">
        <v>5203271.8</v>
      </c>
    </row>
    <row r="151" spans="1:19" ht="12.75">
      <c r="A151" s="5">
        <f t="shared" si="30"/>
        <v>137</v>
      </c>
      <c r="B151" s="7" t="s">
        <v>21</v>
      </c>
      <c r="C151" s="4">
        <f t="shared" si="24"/>
        <v>35523154.27</v>
      </c>
      <c r="D151" s="4">
        <f t="shared" si="25"/>
        <v>3873499.49</v>
      </c>
      <c r="E151" s="4"/>
      <c r="F151" s="4"/>
      <c r="G151" s="4">
        <f t="shared" si="26"/>
        <v>19698327</v>
      </c>
      <c r="H151" s="4"/>
      <c r="I151" s="4">
        <f t="shared" si="27"/>
        <v>9756182.58</v>
      </c>
      <c r="J151" s="4">
        <f t="shared" si="28"/>
        <v>3924535.375</v>
      </c>
      <c r="K151" s="4">
        <f t="shared" si="29"/>
        <v>6017608.925000001</v>
      </c>
      <c r="L151" s="4"/>
      <c r="M151" s="14">
        <v>17500633.03</v>
      </c>
      <c r="N151" s="14">
        <v>7209322.36</v>
      </c>
      <c r="O151" s="14">
        <v>10813198.88</v>
      </c>
      <c r="P151" s="4"/>
      <c r="Q151" s="14">
        <v>2011732.13</v>
      </c>
      <c r="R151" s="14">
        <v>639748.39</v>
      </c>
      <c r="S151" s="14">
        <v>1222018.97</v>
      </c>
    </row>
    <row r="152" spans="1:19" ht="12.75">
      <c r="A152" s="5">
        <f t="shared" si="30"/>
        <v>138</v>
      </c>
      <c r="B152" s="7" t="s">
        <v>20</v>
      </c>
      <c r="C152" s="4">
        <f t="shared" si="24"/>
        <v>0</v>
      </c>
      <c r="D152" s="4">
        <f t="shared" si="25"/>
        <v>0</v>
      </c>
      <c r="E152" s="4"/>
      <c r="F152" s="4"/>
      <c r="G152" s="4">
        <f t="shared" si="26"/>
        <v>0</v>
      </c>
      <c r="H152" s="4"/>
      <c r="I152" s="4">
        <f t="shared" si="27"/>
        <v>0</v>
      </c>
      <c r="J152" s="4">
        <f t="shared" si="28"/>
        <v>0</v>
      </c>
      <c r="K152" s="4">
        <f t="shared" si="29"/>
        <v>0</v>
      </c>
      <c r="L152" s="4"/>
      <c r="M152" s="14">
        <v>0</v>
      </c>
      <c r="N152" s="14">
        <v>0</v>
      </c>
      <c r="O152" s="14">
        <v>0</v>
      </c>
      <c r="P152" s="4"/>
      <c r="Q152" s="14">
        <v>0</v>
      </c>
      <c r="R152" s="14">
        <v>0</v>
      </c>
      <c r="S152" s="14">
        <v>0</v>
      </c>
    </row>
    <row r="153" spans="1:19" ht="12.75">
      <c r="A153" s="5">
        <f t="shared" si="30"/>
        <v>139</v>
      </c>
      <c r="B153" s="15" t="s">
        <v>19</v>
      </c>
      <c r="C153" s="4">
        <f t="shared" si="24"/>
        <v>1854777.52</v>
      </c>
      <c r="D153" s="4">
        <f t="shared" si="25"/>
        <v>2060863.92</v>
      </c>
      <c r="E153" s="4"/>
      <c r="F153" s="4"/>
      <c r="G153" s="4">
        <f t="shared" si="26"/>
        <v>1957821</v>
      </c>
      <c r="H153" s="4"/>
      <c r="I153" s="4">
        <f t="shared" si="27"/>
        <v>809781.5</v>
      </c>
      <c r="J153" s="4">
        <f t="shared" si="28"/>
        <v>126435.47</v>
      </c>
      <c r="K153" s="4">
        <f t="shared" si="29"/>
        <v>1021603.75</v>
      </c>
      <c r="L153" s="4"/>
      <c r="M153" s="14">
        <v>767161.41</v>
      </c>
      <c r="N153" s="14">
        <v>119780.97</v>
      </c>
      <c r="O153" s="14">
        <v>967835.14</v>
      </c>
      <c r="P153" s="4"/>
      <c r="Q153" s="14">
        <v>852401.59</v>
      </c>
      <c r="R153" s="14">
        <v>133089.97</v>
      </c>
      <c r="S153" s="14">
        <v>1075372.36</v>
      </c>
    </row>
    <row r="154" spans="1:19" ht="12.75">
      <c r="A154" s="5">
        <f t="shared" si="30"/>
        <v>140</v>
      </c>
      <c r="B154" s="7" t="s">
        <v>18</v>
      </c>
      <c r="C154" s="4">
        <f t="shared" si="24"/>
        <v>6866424.779999999</v>
      </c>
      <c r="D154" s="4">
        <f t="shared" si="25"/>
        <v>6216182.48</v>
      </c>
      <c r="E154" s="4"/>
      <c r="F154" s="4"/>
      <c r="G154" s="4">
        <f t="shared" si="26"/>
        <v>6541304</v>
      </c>
      <c r="H154" s="4"/>
      <c r="I154" s="4">
        <f t="shared" si="27"/>
        <v>3112427.52</v>
      </c>
      <c r="J154" s="4">
        <f t="shared" si="28"/>
        <v>499095.365</v>
      </c>
      <c r="K154" s="4">
        <f t="shared" si="29"/>
        <v>2929780.745</v>
      </c>
      <c r="L154" s="4"/>
      <c r="M154" s="14">
        <v>3036180.42</v>
      </c>
      <c r="N154" s="14">
        <v>521215.01</v>
      </c>
      <c r="O154" s="14">
        <v>3309029.35</v>
      </c>
      <c r="P154" s="4"/>
      <c r="Q154" s="14">
        <v>3188674.62</v>
      </c>
      <c r="R154" s="14">
        <v>476975.72</v>
      </c>
      <c r="S154" s="14">
        <v>2550532.14</v>
      </c>
    </row>
    <row r="155" spans="1:19" ht="12.75">
      <c r="A155" s="5">
        <f t="shared" si="30"/>
        <v>141</v>
      </c>
      <c r="B155" s="7" t="s">
        <v>17</v>
      </c>
      <c r="C155" s="4">
        <f t="shared" si="24"/>
        <v>1779558.55</v>
      </c>
      <c r="D155" s="4">
        <f t="shared" si="25"/>
        <v>1779558.55</v>
      </c>
      <c r="E155" s="4"/>
      <c r="F155" s="4"/>
      <c r="G155" s="4">
        <f t="shared" si="26"/>
        <v>1779559</v>
      </c>
      <c r="H155" s="4"/>
      <c r="I155" s="4">
        <f t="shared" si="27"/>
        <v>1779558.55</v>
      </c>
      <c r="J155" s="4">
        <f t="shared" si="28"/>
        <v>0</v>
      </c>
      <c r="K155" s="4">
        <f t="shared" si="29"/>
        <v>0</v>
      </c>
      <c r="L155" s="4"/>
      <c r="M155" s="14">
        <v>1779558.55</v>
      </c>
      <c r="N155" s="14">
        <v>0</v>
      </c>
      <c r="O155" s="14">
        <v>0</v>
      </c>
      <c r="P155" s="4"/>
      <c r="Q155" s="14">
        <v>1779558.55</v>
      </c>
      <c r="R155" s="14">
        <v>0</v>
      </c>
      <c r="S155" s="14">
        <v>0</v>
      </c>
    </row>
    <row r="156" spans="1:19" ht="12.75">
      <c r="A156" s="5">
        <f t="shared" si="30"/>
        <v>142</v>
      </c>
      <c r="B156" s="8" t="s">
        <v>16</v>
      </c>
      <c r="C156" s="9">
        <v>378847.35</v>
      </c>
      <c r="D156" s="9">
        <v>749475.65</v>
      </c>
      <c r="E156" s="4">
        <f aca="true" t="shared" si="31" ref="E156:F161">-C156</f>
        <v>-378847.35</v>
      </c>
      <c r="F156" s="4">
        <f t="shared" si="31"/>
        <v>-749475.65</v>
      </c>
      <c r="G156" s="4">
        <f t="shared" si="26"/>
        <v>0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>
      <c r="A157" s="5">
        <f t="shared" si="30"/>
        <v>143</v>
      </c>
      <c r="B157" s="8" t="s">
        <v>15</v>
      </c>
      <c r="C157" s="9">
        <v>152029235.34</v>
      </c>
      <c r="D157" s="9">
        <v>137507003.62</v>
      </c>
      <c r="E157" s="4">
        <f t="shared" si="31"/>
        <v>-152029235.34</v>
      </c>
      <c r="F157" s="4">
        <f t="shared" si="31"/>
        <v>-137507003.62</v>
      </c>
      <c r="G157" s="4">
        <f t="shared" si="26"/>
        <v>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>
      <c r="A158" s="5">
        <f t="shared" si="30"/>
        <v>144</v>
      </c>
      <c r="B158" s="8" t="s">
        <v>14</v>
      </c>
      <c r="C158" s="9">
        <v>0</v>
      </c>
      <c r="D158" s="9">
        <v>0</v>
      </c>
      <c r="E158" s="4">
        <f t="shared" si="31"/>
        <v>0</v>
      </c>
      <c r="F158" s="4">
        <f t="shared" si="31"/>
        <v>0</v>
      </c>
      <c r="G158" s="4">
        <f t="shared" si="26"/>
        <v>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>
      <c r="A159" s="5">
        <f t="shared" si="30"/>
        <v>145</v>
      </c>
      <c r="B159" s="11" t="s">
        <v>13</v>
      </c>
      <c r="C159" s="9">
        <f>1125135.56+944273.89+1378859.18</f>
        <v>3448268.63</v>
      </c>
      <c r="D159" s="9">
        <f>1205905.91+823206.1+1946576.67</f>
        <v>3975688.6799999997</v>
      </c>
      <c r="E159" s="4">
        <f t="shared" si="31"/>
        <v>-3448268.63</v>
      </c>
      <c r="F159" s="4">
        <f t="shared" si="31"/>
        <v>-3975688.6799999997</v>
      </c>
      <c r="G159" s="4">
        <f t="shared" si="26"/>
        <v>0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>
      <c r="A160" s="5">
        <f t="shared" si="30"/>
        <v>146</v>
      </c>
      <c r="B160" s="11" t="s">
        <v>12</v>
      </c>
      <c r="C160" s="9">
        <f>28333.38+11631.36</f>
        <v>39964.740000000005</v>
      </c>
      <c r="D160" s="9">
        <f>31893.42+12358.32</f>
        <v>44251.74</v>
      </c>
      <c r="E160" s="4">
        <f t="shared" si="31"/>
        <v>-39964.740000000005</v>
      </c>
      <c r="F160" s="4">
        <f t="shared" si="31"/>
        <v>-44251.74</v>
      </c>
      <c r="G160" s="4">
        <f t="shared" si="26"/>
        <v>0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>
      <c r="A161" s="5">
        <f t="shared" si="30"/>
        <v>147</v>
      </c>
      <c r="B161" s="8" t="s">
        <v>11</v>
      </c>
      <c r="C161" s="9">
        <v>0</v>
      </c>
      <c r="D161" s="9">
        <v>0</v>
      </c>
      <c r="E161" s="4">
        <f t="shared" si="31"/>
        <v>0</v>
      </c>
      <c r="F161" s="4">
        <f t="shared" si="31"/>
        <v>0</v>
      </c>
      <c r="G161" s="4">
        <f t="shared" si="26"/>
        <v>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>
      <c r="A162" s="5">
        <f t="shared" si="30"/>
        <v>148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3.5" thickBot="1">
      <c r="A163" s="5">
        <f t="shared" si="30"/>
        <v>149</v>
      </c>
      <c r="B163" s="8"/>
      <c r="C163" s="6">
        <f>SUM(C72:C162)</f>
        <v>556471661.95</v>
      </c>
      <c r="D163" s="6">
        <f>SUM(D72:D162)</f>
        <v>460615757.36000013</v>
      </c>
      <c r="E163" s="6">
        <f>SUM(E72:E162)</f>
        <v>-155896316.06</v>
      </c>
      <c r="F163" s="6">
        <f>SUM(F72:F162)</f>
        <v>-142276419.69000003</v>
      </c>
      <c r="G163" s="6">
        <f>SUM(G72:G162)</f>
        <v>359457339</v>
      </c>
      <c r="H163" s="13"/>
      <c r="I163" s="6">
        <f>SUM(I72:I162)</f>
        <v>235230505.85000005</v>
      </c>
      <c r="J163" s="6">
        <f>SUM(J72:J162)</f>
        <v>34357596.86</v>
      </c>
      <c r="K163" s="6">
        <f>SUM(K72:K162)</f>
        <v>89869239.07000002</v>
      </c>
      <c r="L163" s="13"/>
      <c r="M163" s="6">
        <f>SUM(M72:M162)</f>
        <v>260854135.80000004</v>
      </c>
      <c r="N163" s="6">
        <f>SUM(N72:N162)</f>
        <v>41618988.57</v>
      </c>
      <c r="O163" s="6">
        <f>SUM(O72:O162)</f>
        <v>98102221.52000001</v>
      </c>
      <c r="P163" s="13"/>
      <c r="Q163" s="6">
        <f>SUM(Q72:Q162)</f>
        <v>209606875.90000007</v>
      </c>
      <c r="R163" s="6">
        <f>SUM(R72:R162)</f>
        <v>27096205.15</v>
      </c>
      <c r="S163" s="6">
        <f>SUM(S72:S162)</f>
        <v>81636256.61999999</v>
      </c>
    </row>
    <row r="164" spans="1:19" ht="13.5" thickTop="1">
      <c r="A164" s="5">
        <f t="shared" si="30"/>
        <v>150</v>
      </c>
      <c r="C164" s="3"/>
      <c r="D164" s="3"/>
      <c r="E164" s="3"/>
      <c r="F164" s="3"/>
      <c r="G164" s="3"/>
      <c r="H164" s="4"/>
      <c r="I164" s="3"/>
      <c r="J164" s="3"/>
      <c r="K164" s="3"/>
      <c r="L164" s="4"/>
      <c r="M164" s="3"/>
      <c r="N164" s="3"/>
      <c r="O164" s="3"/>
      <c r="P164" s="4"/>
      <c r="Q164" s="3"/>
      <c r="R164" s="3"/>
      <c r="S164" s="3"/>
    </row>
    <row r="165" spans="1:19" ht="12.75">
      <c r="A165" s="5">
        <f t="shared" si="30"/>
        <v>151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>
      <c r="A166" s="5">
        <f t="shared" si="30"/>
        <v>152</v>
      </c>
      <c r="B166" s="7" t="s">
        <v>10</v>
      </c>
      <c r="C166" s="4">
        <f>SUM(M166:O166)</f>
        <v>61981829.269999996</v>
      </c>
      <c r="D166" s="4">
        <f>SUM(Q166:S166)</f>
        <v>59301985</v>
      </c>
      <c r="E166" s="4"/>
      <c r="F166" s="4"/>
      <c r="G166" s="4">
        <f>ROUND(SUM(C166:F166)/2,0)</f>
        <v>60641907</v>
      </c>
      <c r="H166" s="4"/>
      <c r="I166" s="4">
        <f>(M166+Q166)/2</f>
        <v>39072836.5</v>
      </c>
      <c r="J166" s="4">
        <f>(N166+R166)/2</f>
        <v>9113256.25</v>
      </c>
      <c r="K166" s="4">
        <f>(O166+S166)/2</f>
        <v>12455814.385</v>
      </c>
      <c r="L166" s="4"/>
      <c r="M166" s="9">
        <v>40917989</v>
      </c>
      <c r="N166" s="9">
        <v>8899512.5</v>
      </c>
      <c r="O166" s="9">
        <v>12164327.77</v>
      </c>
      <c r="P166" s="4"/>
      <c r="Q166" s="9">
        <f>58453062+18846157-45018934+4947399</f>
        <v>37227684</v>
      </c>
      <c r="R166" s="9">
        <f>18331300-9004300</f>
        <v>9327000</v>
      </c>
      <c r="S166" s="9">
        <f>23791676-11044375</f>
        <v>12747301</v>
      </c>
    </row>
    <row r="167" spans="1:19" ht="12.75">
      <c r="A167" s="5">
        <f t="shared" si="30"/>
        <v>153</v>
      </c>
      <c r="B167" s="8" t="s">
        <v>9</v>
      </c>
      <c r="C167" s="9">
        <v>246830335</v>
      </c>
      <c r="D167" s="9">
        <v>180514169.3</v>
      </c>
      <c r="E167" s="4">
        <f>-C167</f>
        <v>-246830335</v>
      </c>
      <c r="F167" s="4">
        <f>-D167</f>
        <v>-180514169.3</v>
      </c>
      <c r="G167" s="4">
        <f>ROUND(SUM(C167:F167)/2,0)</f>
        <v>0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>
      <c r="A168" s="5">
        <f t="shared" si="30"/>
        <v>154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3.5" thickBot="1">
      <c r="A169" s="5">
        <f t="shared" si="30"/>
        <v>155</v>
      </c>
      <c r="B169" s="8" t="s">
        <v>8</v>
      </c>
      <c r="C169" s="6">
        <f>SUM(C163:C168)</f>
        <v>865283826.22</v>
      </c>
      <c r="D169" s="6">
        <f>SUM(D163:D168)</f>
        <v>700431911.6600001</v>
      </c>
      <c r="E169" s="6">
        <f>SUM(E163:E168)</f>
        <v>-402726651.06</v>
      </c>
      <c r="F169" s="6">
        <f>SUM(F163:F168)</f>
        <v>-322790588.99</v>
      </c>
      <c r="G169" s="6">
        <f>SUM(G163:G168)</f>
        <v>420099246</v>
      </c>
      <c r="H169" s="4"/>
      <c r="I169" s="6">
        <f>SUM(I163:I168)</f>
        <v>274303342.35</v>
      </c>
      <c r="J169" s="6">
        <f>SUM(J163:J168)</f>
        <v>43470853.11</v>
      </c>
      <c r="K169" s="6">
        <f>SUM(K163:K168)</f>
        <v>102325053.45500003</v>
      </c>
      <c r="L169" s="4"/>
      <c r="M169" s="12">
        <f>SUM(M163:M168)</f>
        <v>301772124.8000001</v>
      </c>
      <c r="N169" s="12">
        <f>SUM(N163:N168)</f>
        <v>50518501.07</v>
      </c>
      <c r="O169" s="12">
        <f>SUM(O163:O168)</f>
        <v>110266549.29</v>
      </c>
      <c r="P169" s="4"/>
      <c r="Q169" s="6">
        <f>SUM(Q163:Q168)</f>
        <v>246834559.90000007</v>
      </c>
      <c r="R169" s="6">
        <f>SUM(R163:R168)</f>
        <v>36423205.15</v>
      </c>
      <c r="S169" s="6">
        <f>SUM(S163:S168)</f>
        <v>94383557.61999999</v>
      </c>
    </row>
    <row r="170" spans="1:19" ht="12.75" customHeight="1" thickTop="1">
      <c r="A170" s="5">
        <f t="shared" si="30"/>
        <v>156</v>
      </c>
      <c r="C170" s="3"/>
      <c r="D170" s="3"/>
      <c r="E170" s="3"/>
      <c r="F170" s="3"/>
      <c r="G170" s="3"/>
      <c r="H170" s="4"/>
      <c r="I170" s="3"/>
      <c r="J170" s="3"/>
      <c r="K170" s="3"/>
      <c r="L170" s="4"/>
      <c r="M170" s="4"/>
      <c r="N170" s="4"/>
      <c r="O170" s="4"/>
      <c r="P170" s="4"/>
      <c r="Q170" s="3"/>
      <c r="R170" s="3"/>
      <c r="S170" s="3"/>
    </row>
    <row r="171" spans="1:19" ht="12.75">
      <c r="A171" s="5">
        <f t="shared" si="30"/>
        <v>157</v>
      </c>
      <c r="C171" s="11"/>
      <c r="D171" s="1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>
      <c r="A172" s="5">
        <f t="shared" si="30"/>
        <v>158</v>
      </c>
      <c r="B172" s="8" t="s">
        <v>7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>
      <c r="A173" s="5">
        <f t="shared" si="30"/>
        <v>159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>
      <c r="A174" s="5">
        <f t="shared" si="30"/>
        <v>160</v>
      </c>
      <c r="B174" s="8" t="s">
        <v>6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.75">
      <c r="A175" s="5">
        <f t="shared" si="30"/>
        <v>161</v>
      </c>
      <c r="C175" s="4"/>
      <c r="D175" s="10"/>
      <c r="E175" s="10"/>
      <c r="F175" s="10"/>
      <c r="G175" s="10"/>
      <c r="H175" s="10"/>
      <c r="I175" s="10"/>
      <c r="J175" s="10"/>
      <c r="K175" s="10"/>
      <c r="L175" s="10"/>
      <c r="M175" s="4"/>
      <c r="N175" s="4"/>
      <c r="O175" s="4"/>
      <c r="P175" s="4"/>
      <c r="Q175" s="4"/>
      <c r="R175" s="4"/>
      <c r="S175" s="4"/>
    </row>
    <row r="176" spans="1:19" ht="12.75">
      <c r="A176" s="5">
        <f aca="true" t="shared" si="32" ref="A176:A183">A175+1</f>
        <v>162</v>
      </c>
      <c r="B176" s="8" t="s">
        <v>5</v>
      </c>
      <c r="C176" s="4"/>
      <c r="D176" s="10"/>
      <c r="E176" s="10"/>
      <c r="F176" s="10"/>
      <c r="G176" s="10"/>
      <c r="H176" s="10"/>
      <c r="I176" s="10"/>
      <c r="J176" s="10"/>
      <c r="K176" s="10"/>
      <c r="L176" s="10"/>
      <c r="M176" s="4"/>
      <c r="N176" s="4"/>
      <c r="O176" s="4"/>
      <c r="P176" s="4"/>
      <c r="Q176" s="4"/>
      <c r="R176" s="4"/>
      <c r="S176" s="4"/>
    </row>
    <row r="177" spans="1:19" ht="12.75">
      <c r="A177" s="5">
        <f t="shared" si="32"/>
        <v>163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.75">
      <c r="A178" s="5">
        <f t="shared" si="32"/>
        <v>164</v>
      </c>
      <c r="B178" s="7" t="s">
        <v>4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>
      <c r="A179" s="5">
        <f t="shared" si="32"/>
        <v>165</v>
      </c>
      <c r="B179" s="7" t="s">
        <v>3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>
      <c r="A180" s="5">
        <f t="shared" si="32"/>
        <v>166</v>
      </c>
      <c r="B180" s="7" t="s">
        <v>2</v>
      </c>
      <c r="C180" s="4">
        <f>SUM(M180:O180)</f>
        <v>172882</v>
      </c>
      <c r="D180" s="4">
        <f>SUM(Q180:S180)</f>
        <v>438855</v>
      </c>
      <c r="E180" s="4"/>
      <c r="F180" s="4"/>
      <c r="G180" s="4">
        <f>ROUND(SUM(C180:F180)/2,0)</f>
        <v>305869</v>
      </c>
      <c r="H180" s="4"/>
      <c r="I180" s="4">
        <f aca="true" t="shared" si="33" ref="I180:K181">(M180+Q180)/2</f>
        <v>91437</v>
      </c>
      <c r="J180" s="4">
        <f t="shared" si="33"/>
        <v>172907</v>
      </c>
      <c r="K180" s="4">
        <f t="shared" si="33"/>
        <v>41524.5</v>
      </c>
      <c r="L180" s="4"/>
      <c r="M180" s="9">
        <v>37336</v>
      </c>
      <c r="N180" s="9">
        <v>115806</v>
      </c>
      <c r="O180" s="9">
        <v>19740</v>
      </c>
      <c r="P180" s="4"/>
      <c r="Q180" s="9">
        <v>145538</v>
      </c>
      <c r="R180" s="9">
        <v>230008</v>
      </c>
      <c r="S180" s="9">
        <v>63309</v>
      </c>
    </row>
    <row r="181" spans="1:19" ht="12.75">
      <c r="A181" s="5">
        <f t="shared" si="32"/>
        <v>167</v>
      </c>
      <c r="B181" s="7" t="s">
        <v>1</v>
      </c>
      <c r="C181" s="4">
        <f>SUM(M181:O181)</f>
        <v>851995</v>
      </c>
      <c r="D181" s="4">
        <f>SUM(Q181:S181)</f>
        <v>873076</v>
      </c>
      <c r="E181" s="4"/>
      <c r="F181" s="4"/>
      <c r="G181" s="4">
        <f>ROUND(SUM(C181:F181)/2,0)</f>
        <v>862536</v>
      </c>
      <c r="H181" s="4"/>
      <c r="I181" s="4">
        <f t="shared" si="33"/>
        <v>862535.5</v>
      </c>
      <c r="J181" s="4">
        <f t="shared" si="33"/>
        <v>0</v>
      </c>
      <c r="K181" s="4">
        <f t="shared" si="33"/>
        <v>0</v>
      </c>
      <c r="L181" s="4"/>
      <c r="M181" s="9">
        <v>851995</v>
      </c>
      <c r="N181" s="9">
        <v>0</v>
      </c>
      <c r="O181" s="9">
        <v>0</v>
      </c>
      <c r="P181" s="4"/>
      <c r="Q181" s="9">
        <v>873076</v>
      </c>
      <c r="R181" s="9">
        <v>0</v>
      </c>
      <c r="S181" s="9">
        <v>0</v>
      </c>
    </row>
    <row r="182" spans="1:19" ht="12.75">
      <c r="A182" s="5">
        <f t="shared" si="32"/>
        <v>168</v>
      </c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3.5" thickBot="1">
      <c r="A183" s="5">
        <f t="shared" si="32"/>
        <v>169</v>
      </c>
      <c r="B183" s="7" t="s">
        <v>0</v>
      </c>
      <c r="C183" s="6">
        <f>SUM(C180:C182)</f>
        <v>1024877</v>
      </c>
      <c r="D183" s="6">
        <f>SUM(D180:D182)</f>
        <v>1311931</v>
      </c>
      <c r="E183" s="6">
        <f>SUM(E180:E182)</f>
        <v>0</v>
      </c>
      <c r="F183" s="6">
        <f>SUM(F180:F182)</f>
        <v>0</v>
      </c>
      <c r="G183" s="6">
        <f>SUM(G180:G182)</f>
        <v>1168405</v>
      </c>
      <c r="H183" s="4"/>
      <c r="I183" s="6">
        <f>SUM(I180:I182)</f>
        <v>953972.5</v>
      </c>
      <c r="J183" s="6">
        <f>SUM(J180:J182)</f>
        <v>172907</v>
      </c>
      <c r="K183" s="6">
        <f>SUM(K180:K182)</f>
        <v>41524.5</v>
      </c>
      <c r="L183" s="4"/>
      <c r="M183" s="6">
        <f>SUM(M180:M182)</f>
        <v>889331</v>
      </c>
      <c r="N183" s="6">
        <f>SUM(N180:N182)</f>
        <v>115806</v>
      </c>
      <c r="O183" s="6">
        <f>SUM(O180:O182)</f>
        <v>19740</v>
      </c>
      <c r="P183" s="4"/>
      <c r="Q183" s="6">
        <f>SUM(Q180:Q182)</f>
        <v>1018614</v>
      </c>
      <c r="R183" s="6">
        <f>SUM(R180:R182)</f>
        <v>230008</v>
      </c>
      <c r="S183" s="6">
        <f>SUM(S180:S182)</f>
        <v>63309</v>
      </c>
    </row>
    <row r="184" spans="1:19" ht="13.5" thickTop="1">
      <c r="A184" s="5"/>
      <c r="C184" s="3"/>
      <c r="D184" s="3"/>
      <c r="E184" s="3"/>
      <c r="F184" s="3"/>
      <c r="G184" s="3"/>
      <c r="H184" s="4"/>
      <c r="I184" s="3"/>
      <c r="J184" s="3"/>
      <c r="K184" s="3"/>
      <c r="L184" s="4"/>
      <c r="M184" s="3"/>
      <c r="N184" s="3"/>
      <c r="O184" s="3"/>
      <c r="P184" s="4"/>
      <c r="Q184" s="3"/>
      <c r="R184" s="3"/>
      <c r="S184" s="3"/>
    </row>
  </sheetData>
  <sheetProtection/>
  <printOptions/>
  <pageMargins left="0.75" right="0.25" top="0.5" bottom="0.5" header="0.25" footer="0.25"/>
  <pageSetup horizontalDpi="600" verticalDpi="600" orientation="portrait" scale="65" r:id="rId3"/>
  <headerFooter alignWithMargins="0">
    <oddHeader>&amp;RSTATEMENT AF
PAGE &amp;P OF &amp;N</oddHeader>
  </headerFooter>
  <colBreaks count="2" manualBreakCount="2">
    <brk id="11" min="14" max="119" man="1"/>
    <brk id="15" min="14" max="11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23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3" sqref="B23"/>
    </sheetView>
  </sheetViews>
  <sheetFormatPr defaultColWidth="12.7109375" defaultRowHeight="12.75"/>
  <cols>
    <col min="1" max="1" width="4.7109375" style="27" customWidth="1"/>
    <col min="2" max="2" width="54.7109375" style="28" customWidth="1"/>
    <col min="3" max="7" width="15.7109375" style="28" customWidth="1"/>
    <col min="8" max="8" width="2.7109375" style="28" customWidth="1"/>
    <col min="9" max="11" width="15.7109375" style="28" customWidth="1"/>
    <col min="12" max="12" width="2.7109375" style="28" customWidth="1"/>
    <col min="13" max="13" width="15.7109375" style="28" customWidth="1"/>
    <col min="14" max="14" width="15.7109375" style="79" customWidth="1"/>
    <col min="15" max="15" width="15.7109375" style="28" customWidth="1"/>
    <col min="16" max="16" width="2.7109375" style="28" customWidth="1"/>
    <col min="17" max="19" width="15.7109375" style="28" customWidth="1"/>
    <col min="20" max="20" width="14.57421875" style="28" customWidth="1"/>
    <col min="21" max="16384" width="12.7109375" style="28" customWidth="1"/>
  </cols>
  <sheetData>
    <row r="1" spans="2:19" ht="12.75">
      <c r="B1" s="26" t="s">
        <v>509</v>
      </c>
      <c r="F1" s="1"/>
      <c r="G1" s="7"/>
      <c r="H1" s="7"/>
      <c r="I1" s="7"/>
      <c r="J1" s="7"/>
      <c r="K1" s="7"/>
      <c r="L1" s="7"/>
      <c r="N1" s="78"/>
      <c r="O1" s="1"/>
      <c r="S1" s="7"/>
    </row>
    <row r="2" spans="2:19" ht="12.75">
      <c r="B2" s="65" t="s">
        <v>182</v>
      </c>
      <c r="G2" s="29"/>
      <c r="H2" s="29"/>
      <c r="I2" s="29"/>
      <c r="J2" s="29"/>
      <c r="K2" s="29"/>
      <c r="L2" s="29"/>
      <c r="S2" s="29"/>
    </row>
    <row r="3" ht="12.75">
      <c r="B3" s="65" t="s">
        <v>579</v>
      </c>
    </row>
    <row r="4" spans="2:7" ht="12.75">
      <c r="B4" s="80"/>
      <c r="G4" s="30" t="s">
        <v>183</v>
      </c>
    </row>
    <row r="5" ht="12.75">
      <c r="B5" s="27"/>
    </row>
    <row r="6" spans="8:12" ht="12.75">
      <c r="H6" s="30"/>
      <c r="I6" s="30"/>
      <c r="J6" s="30"/>
      <c r="K6" s="30"/>
      <c r="L6" s="30"/>
    </row>
    <row r="8" spans="2:19" ht="12.75">
      <c r="B8" s="31" t="s">
        <v>177</v>
      </c>
      <c r="C8" s="31" t="s">
        <v>176</v>
      </c>
      <c r="D8" s="31" t="s">
        <v>175</v>
      </c>
      <c r="E8" s="31" t="s">
        <v>174</v>
      </c>
      <c r="F8" s="31" t="s">
        <v>173</v>
      </c>
      <c r="G8" s="31" t="s">
        <v>172</v>
      </c>
      <c r="H8" s="31"/>
      <c r="I8" s="31" t="s">
        <v>171</v>
      </c>
      <c r="J8" s="31" t="s">
        <v>170</v>
      </c>
      <c r="K8" s="31" t="s">
        <v>169</v>
      </c>
      <c r="L8" s="31"/>
      <c r="M8" s="31" t="s">
        <v>168</v>
      </c>
      <c r="N8" s="31" t="s">
        <v>167</v>
      </c>
      <c r="O8" s="81" t="s">
        <v>166</v>
      </c>
      <c r="Q8" s="31" t="s">
        <v>165</v>
      </c>
      <c r="R8" s="31" t="s">
        <v>164</v>
      </c>
      <c r="S8" s="31" t="s">
        <v>163</v>
      </c>
    </row>
    <row r="10" spans="3:19" ht="12.75">
      <c r="C10" s="32" t="s">
        <v>162</v>
      </c>
      <c r="D10" s="32"/>
      <c r="E10" s="33" t="s">
        <v>161</v>
      </c>
      <c r="F10" s="32"/>
      <c r="G10" s="34" t="s">
        <v>160</v>
      </c>
      <c r="H10" s="34"/>
      <c r="I10" s="35" t="s">
        <v>159</v>
      </c>
      <c r="J10" s="32"/>
      <c r="K10" s="32"/>
      <c r="L10" s="34"/>
      <c r="M10" s="35" t="s">
        <v>158</v>
      </c>
      <c r="N10" s="82"/>
      <c r="O10" s="32"/>
      <c r="Q10" s="35" t="s">
        <v>157</v>
      </c>
      <c r="R10" s="32"/>
      <c r="S10" s="32"/>
    </row>
    <row r="11" spans="3:19" ht="12.75">
      <c r="C11" s="37"/>
      <c r="D11" s="37"/>
      <c r="G11" s="34" t="s">
        <v>156</v>
      </c>
      <c r="H11" s="34"/>
      <c r="I11" s="37"/>
      <c r="J11" s="37"/>
      <c r="K11" s="37"/>
      <c r="L11" s="34"/>
      <c r="M11" s="37"/>
      <c r="N11" s="83"/>
      <c r="O11" s="37"/>
      <c r="Q11" s="37"/>
      <c r="R11" s="37"/>
      <c r="S11" s="37"/>
    </row>
    <row r="12" spans="3:12" ht="12.75">
      <c r="C12" s="34" t="s">
        <v>155</v>
      </c>
      <c r="D12" s="34" t="s">
        <v>155</v>
      </c>
      <c r="E12" s="34" t="s">
        <v>155</v>
      </c>
      <c r="F12" s="34" t="s">
        <v>155</v>
      </c>
      <c r="G12" s="34" t="s">
        <v>154</v>
      </c>
      <c r="H12" s="34"/>
      <c r="L12" s="34"/>
    </row>
    <row r="13" spans="2:19" ht="12.75">
      <c r="B13" s="31" t="s">
        <v>153</v>
      </c>
      <c r="C13" s="31" t="s">
        <v>152</v>
      </c>
      <c r="D13" s="31" t="s">
        <v>151</v>
      </c>
      <c r="E13" s="31" t="str">
        <f>C13</f>
        <v>OF 12-31-15</v>
      </c>
      <c r="F13" s="31" t="str">
        <f>D13</f>
        <v>OF 12-31-14</v>
      </c>
      <c r="G13" s="31" t="s">
        <v>150</v>
      </c>
      <c r="H13" s="31"/>
      <c r="I13" s="31" t="s">
        <v>149</v>
      </c>
      <c r="J13" s="31" t="s">
        <v>148</v>
      </c>
      <c r="K13" s="31" t="s">
        <v>147</v>
      </c>
      <c r="L13" s="31"/>
      <c r="M13" s="31" t="s">
        <v>149</v>
      </c>
      <c r="N13" s="81" t="s">
        <v>148</v>
      </c>
      <c r="O13" s="31" t="s">
        <v>147</v>
      </c>
      <c r="Q13" s="31" t="s">
        <v>149</v>
      </c>
      <c r="R13" s="31" t="s">
        <v>148</v>
      </c>
      <c r="S13" s="31" t="s">
        <v>147</v>
      </c>
    </row>
    <row r="14" spans="1:29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38">
        <v>1</v>
      </c>
      <c r="B15" s="11" t="s">
        <v>184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7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  <c r="AA15" s="1"/>
      <c r="AB15" s="1"/>
      <c r="AC15" s="1"/>
    </row>
    <row r="16" spans="1:29" ht="12.75">
      <c r="A16" s="38">
        <f aca="true" t="shared" si="0" ref="A16:A79">+A15+1</f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7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  <c r="AA16" s="1"/>
      <c r="AB16" s="1"/>
      <c r="AC16" s="1"/>
    </row>
    <row r="17" spans="1:51" ht="12.75">
      <c r="A17" s="38">
        <f t="shared" si="0"/>
        <v>3</v>
      </c>
      <c r="B17" s="11" t="s">
        <v>185</v>
      </c>
      <c r="C17" s="4">
        <f aca="true" t="shared" si="1" ref="C17:C48">SUM(M17:O17)</f>
        <v>17032090</v>
      </c>
      <c r="D17" s="4">
        <f aca="true" t="shared" si="2" ref="D17:D80">SUM(Q17:S17)</f>
        <v>18026231</v>
      </c>
      <c r="E17" s="4"/>
      <c r="F17" s="4"/>
      <c r="G17" s="4">
        <f>ROUND(SUM(C17:F17)/2,0)</f>
        <v>17529161</v>
      </c>
      <c r="H17" s="4"/>
      <c r="I17" s="4">
        <f aca="true" t="shared" si="3" ref="I17:K48">(M17+Q17)/2</f>
        <v>0</v>
      </c>
      <c r="J17" s="4">
        <f t="shared" si="3"/>
        <v>358676</v>
      </c>
      <c r="K17" s="4">
        <f t="shared" si="3"/>
        <v>17170484.5</v>
      </c>
      <c r="L17" s="4"/>
      <c r="M17" s="14">
        <v>0</v>
      </c>
      <c r="N17" s="14">
        <v>372962</v>
      </c>
      <c r="O17" s="14">
        <v>16659128</v>
      </c>
      <c r="P17" s="4"/>
      <c r="Q17" s="14">
        <v>0</v>
      </c>
      <c r="R17" s="14">
        <v>344390</v>
      </c>
      <c r="S17" s="14">
        <v>17681841</v>
      </c>
      <c r="T17" s="4"/>
      <c r="U17" s="4"/>
      <c r="V17" s="4"/>
      <c r="W17" s="4"/>
      <c r="X17" s="4"/>
      <c r="Y17" s="4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2.75">
      <c r="A18" s="38">
        <f t="shared" si="0"/>
        <v>4</v>
      </c>
      <c r="B18" s="11" t="s">
        <v>580</v>
      </c>
      <c r="C18" s="4">
        <f t="shared" si="1"/>
        <v>0</v>
      </c>
      <c r="D18" s="4">
        <f t="shared" si="2"/>
        <v>0</v>
      </c>
      <c r="E18" s="4"/>
      <c r="F18" s="4"/>
      <c r="G18" s="4">
        <f>ROUND(SUM(C18:F18)/2,0)</f>
        <v>0</v>
      </c>
      <c r="H18" s="4"/>
      <c r="I18" s="4">
        <f t="shared" si="3"/>
        <v>0</v>
      </c>
      <c r="J18" s="4">
        <f t="shared" si="3"/>
        <v>0</v>
      </c>
      <c r="K18" s="4">
        <f t="shared" si="3"/>
        <v>0</v>
      </c>
      <c r="L18" s="4"/>
      <c r="M18" s="14">
        <v>0</v>
      </c>
      <c r="N18" s="14">
        <v>0</v>
      </c>
      <c r="O18" s="14">
        <v>0</v>
      </c>
      <c r="P18" s="4"/>
      <c r="Q18" s="14">
        <v>0</v>
      </c>
      <c r="R18" s="14">
        <v>0</v>
      </c>
      <c r="S18" s="14">
        <v>0</v>
      </c>
      <c r="T18" s="4"/>
      <c r="U18" s="4"/>
      <c r="V18" s="4"/>
      <c r="W18" s="4"/>
      <c r="X18" s="4"/>
      <c r="Y18" s="4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2.75">
      <c r="A19" s="38">
        <f t="shared" si="0"/>
        <v>5</v>
      </c>
      <c r="B19" s="11" t="s">
        <v>581</v>
      </c>
      <c r="C19" s="4">
        <f t="shared" si="1"/>
        <v>0</v>
      </c>
      <c r="D19" s="4">
        <f t="shared" si="2"/>
        <v>0</v>
      </c>
      <c r="E19" s="4"/>
      <c r="F19" s="4"/>
      <c r="G19" s="4">
        <f aca="true" t="shared" si="4" ref="G19:G71">ROUND(SUM(C19:F19)/2,0)</f>
        <v>0</v>
      </c>
      <c r="H19" s="4"/>
      <c r="I19" s="4">
        <f t="shared" si="3"/>
        <v>0</v>
      </c>
      <c r="J19" s="4">
        <f t="shared" si="3"/>
        <v>0</v>
      </c>
      <c r="K19" s="4">
        <f t="shared" si="3"/>
        <v>0</v>
      </c>
      <c r="L19" s="4"/>
      <c r="M19" s="14">
        <v>0</v>
      </c>
      <c r="N19" s="14">
        <v>0</v>
      </c>
      <c r="O19" s="14">
        <v>0</v>
      </c>
      <c r="P19" s="4"/>
      <c r="Q19" s="14">
        <v>0</v>
      </c>
      <c r="R19" s="14">
        <v>0</v>
      </c>
      <c r="S19" s="14">
        <v>0</v>
      </c>
      <c r="T19" s="4"/>
      <c r="U19" s="4"/>
      <c r="V19" s="4"/>
      <c r="W19" s="4"/>
      <c r="X19" s="4"/>
      <c r="Y19" s="4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2.75">
      <c r="A20" s="38">
        <f>+A19+1</f>
        <v>6</v>
      </c>
      <c r="B20" s="4" t="s">
        <v>186</v>
      </c>
      <c r="C20" s="4">
        <f t="shared" si="1"/>
        <v>23990835.68</v>
      </c>
      <c r="D20" s="4">
        <f t="shared" si="2"/>
        <v>21828824.93</v>
      </c>
      <c r="E20" s="4"/>
      <c r="F20" s="4"/>
      <c r="G20" s="4">
        <f t="shared" si="4"/>
        <v>22909830</v>
      </c>
      <c r="H20" s="4"/>
      <c r="I20" s="4">
        <f t="shared" si="3"/>
        <v>0</v>
      </c>
      <c r="J20" s="4">
        <f t="shared" si="3"/>
        <v>11675892.245</v>
      </c>
      <c r="K20" s="4">
        <f t="shared" si="3"/>
        <v>11233938.06</v>
      </c>
      <c r="L20" s="4"/>
      <c r="M20" s="14">
        <v>0</v>
      </c>
      <c r="N20" s="14">
        <v>12254994.469999999</v>
      </c>
      <c r="O20" s="14">
        <v>11735841.21</v>
      </c>
      <c r="P20" s="4"/>
      <c r="Q20" s="14">
        <v>0</v>
      </c>
      <c r="R20" s="14">
        <f>15703136.02-4606346</f>
        <v>11096790.02</v>
      </c>
      <c r="S20" s="14">
        <f>17290308.91-6558274</f>
        <v>10732034.91</v>
      </c>
      <c r="T20" s="4"/>
      <c r="U20" s="4"/>
      <c r="V20" s="4"/>
      <c r="W20" s="4"/>
      <c r="X20" s="4"/>
      <c r="Y20" s="4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2.75">
      <c r="A21" s="38">
        <f t="shared" si="0"/>
        <v>7</v>
      </c>
      <c r="B21" s="4" t="s">
        <v>403</v>
      </c>
      <c r="C21" s="4">
        <f t="shared" si="1"/>
        <v>19680639.61</v>
      </c>
      <c r="D21" s="4">
        <f t="shared" si="2"/>
        <v>20578242.2</v>
      </c>
      <c r="E21" s="4"/>
      <c r="F21" s="4"/>
      <c r="G21" s="4">
        <f t="shared" si="4"/>
        <v>20129441</v>
      </c>
      <c r="H21" s="4"/>
      <c r="I21" s="4">
        <f t="shared" si="3"/>
        <v>0</v>
      </c>
      <c r="J21" s="4">
        <f t="shared" si="3"/>
        <v>3141503.315</v>
      </c>
      <c r="K21" s="4">
        <f t="shared" si="3"/>
        <v>16987937.59</v>
      </c>
      <c r="L21" s="4"/>
      <c r="M21" s="14">
        <v>0</v>
      </c>
      <c r="N21" s="14">
        <v>3038854.56</v>
      </c>
      <c r="O21" s="14">
        <v>16641785.05</v>
      </c>
      <c r="P21" s="4"/>
      <c r="Q21" s="14">
        <v>0</v>
      </c>
      <c r="R21" s="14">
        <v>3244152.07</v>
      </c>
      <c r="S21" s="14">
        <v>17334090.13</v>
      </c>
      <c r="T21" s="4"/>
      <c r="U21" s="4"/>
      <c r="V21" s="4"/>
      <c r="W21" s="4"/>
      <c r="X21" s="4"/>
      <c r="Y21" s="4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2.75">
      <c r="A22" s="38">
        <f t="shared" si="0"/>
        <v>8</v>
      </c>
      <c r="B22" s="4" t="s">
        <v>404</v>
      </c>
      <c r="C22" s="4">
        <f t="shared" si="1"/>
        <v>9244512.12</v>
      </c>
      <c r="D22" s="4">
        <f t="shared" si="2"/>
        <v>5440960.9</v>
      </c>
      <c r="E22" s="4"/>
      <c r="F22" s="4"/>
      <c r="G22" s="4">
        <f t="shared" si="4"/>
        <v>7342737</v>
      </c>
      <c r="H22" s="4"/>
      <c r="I22" s="4">
        <f t="shared" si="3"/>
        <v>0</v>
      </c>
      <c r="J22" s="4">
        <f t="shared" si="3"/>
        <v>0</v>
      </c>
      <c r="K22" s="4">
        <f t="shared" si="3"/>
        <v>7342736.51</v>
      </c>
      <c r="L22" s="4"/>
      <c r="M22" s="14">
        <v>0</v>
      </c>
      <c r="N22" s="14">
        <v>0</v>
      </c>
      <c r="O22" s="14">
        <v>9244512.12</v>
      </c>
      <c r="P22" s="4"/>
      <c r="Q22" s="14">
        <v>0</v>
      </c>
      <c r="R22" s="14">
        <v>0</v>
      </c>
      <c r="S22" s="14">
        <v>5440960.9</v>
      </c>
      <c r="T22" s="4"/>
      <c r="U22" s="4"/>
      <c r="V22" s="4"/>
      <c r="W22" s="4"/>
      <c r="X22" s="4"/>
      <c r="Y22" s="4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2.75">
      <c r="A23" s="38">
        <f t="shared" si="0"/>
        <v>9</v>
      </c>
      <c r="B23" s="4" t="s">
        <v>582</v>
      </c>
      <c r="C23" s="4">
        <f t="shared" si="1"/>
        <v>0</v>
      </c>
      <c r="D23" s="4">
        <f t="shared" si="2"/>
        <v>0</v>
      </c>
      <c r="E23" s="4"/>
      <c r="F23" s="4"/>
      <c r="G23" s="4">
        <f>ROUND(SUM(C23:F23)/2,0)</f>
        <v>0</v>
      </c>
      <c r="H23" s="4"/>
      <c r="I23" s="4">
        <f t="shared" si="3"/>
        <v>0</v>
      </c>
      <c r="J23" s="4">
        <f t="shared" si="3"/>
        <v>0</v>
      </c>
      <c r="K23" s="4">
        <f t="shared" si="3"/>
        <v>0</v>
      </c>
      <c r="L23" s="4"/>
      <c r="M23" s="14">
        <v>0</v>
      </c>
      <c r="N23" s="14">
        <v>0</v>
      </c>
      <c r="O23" s="14">
        <v>0</v>
      </c>
      <c r="P23" s="4"/>
      <c r="Q23" s="14">
        <v>0</v>
      </c>
      <c r="R23" s="14">
        <v>0</v>
      </c>
      <c r="S23" s="14">
        <v>0</v>
      </c>
      <c r="T23" s="4"/>
      <c r="U23" s="4"/>
      <c r="V23" s="4"/>
      <c r="W23" s="4"/>
      <c r="X23" s="4"/>
      <c r="Y23" s="4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38">
        <f t="shared" si="0"/>
        <v>10</v>
      </c>
      <c r="B24" s="11" t="s">
        <v>194</v>
      </c>
      <c r="C24" s="4">
        <f t="shared" si="1"/>
        <v>9616988.219999999</v>
      </c>
      <c r="D24" s="4">
        <f t="shared" si="2"/>
        <v>15518180.8</v>
      </c>
      <c r="E24" s="4"/>
      <c r="F24" s="4"/>
      <c r="G24" s="4">
        <f t="shared" si="4"/>
        <v>12567585</v>
      </c>
      <c r="H24" s="4"/>
      <c r="I24" s="4">
        <f t="shared" si="3"/>
        <v>0</v>
      </c>
      <c r="J24" s="4">
        <f t="shared" si="3"/>
        <v>2165862.66</v>
      </c>
      <c r="K24" s="4">
        <f t="shared" si="3"/>
        <v>10401721.85</v>
      </c>
      <c r="L24" s="4"/>
      <c r="M24" s="14">
        <v>0</v>
      </c>
      <c r="N24" s="14">
        <v>2165862.66</v>
      </c>
      <c r="O24" s="14">
        <v>7451125.56</v>
      </c>
      <c r="P24" s="4"/>
      <c r="Q24" s="14">
        <v>0</v>
      </c>
      <c r="R24" s="14">
        <v>2165862.66</v>
      </c>
      <c r="S24" s="14">
        <v>13352318.14</v>
      </c>
      <c r="T24" s="4"/>
      <c r="U24" s="4"/>
      <c r="V24" s="4"/>
      <c r="W24" s="4"/>
      <c r="X24" s="4"/>
      <c r="Y24" s="4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38">
        <f t="shared" si="0"/>
        <v>11</v>
      </c>
      <c r="B25" s="11" t="s">
        <v>583</v>
      </c>
      <c r="C25" s="4">
        <f t="shared" si="1"/>
        <v>0</v>
      </c>
      <c r="D25" s="4">
        <f t="shared" si="2"/>
        <v>0</v>
      </c>
      <c r="E25" s="4"/>
      <c r="F25" s="4"/>
      <c r="G25" s="4">
        <f t="shared" si="4"/>
        <v>0</v>
      </c>
      <c r="H25" s="4"/>
      <c r="I25" s="4">
        <f t="shared" si="3"/>
        <v>0</v>
      </c>
      <c r="J25" s="4">
        <f t="shared" si="3"/>
        <v>0</v>
      </c>
      <c r="K25" s="4">
        <f t="shared" si="3"/>
        <v>0</v>
      </c>
      <c r="L25" s="4"/>
      <c r="M25" s="14">
        <v>0</v>
      </c>
      <c r="N25" s="14">
        <v>0</v>
      </c>
      <c r="O25" s="14">
        <v>0</v>
      </c>
      <c r="P25" s="4"/>
      <c r="Q25" s="14">
        <v>0</v>
      </c>
      <c r="R25" s="14">
        <v>0</v>
      </c>
      <c r="S25" s="14">
        <v>0</v>
      </c>
      <c r="T25" s="4"/>
      <c r="U25" s="4"/>
      <c r="V25" s="4"/>
      <c r="W25" s="4"/>
      <c r="X25" s="4"/>
      <c r="Y25" s="4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2.75">
      <c r="A26" s="38">
        <f t="shared" si="0"/>
        <v>12</v>
      </c>
      <c r="B26" s="11" t="s">
        <v>584</v>
      </c>
      <c r="C26" s="4">
        <f t="shared" si="1"/>
        <v>2672760.3</v>
      </c>
      <c r="D26" s="4">
        <f t="shared" si="2"/>
        <v>2672760.3</v>
      </c>
      <c r="E26" s="4"/>
      <c r="F26" s="4"/>
      <c r="G26" s="4">
        <f>ROUND(SUM(C26:F26)/2,0)</f>
        <v>2672760</v>
      </c>
      <c r="H26" s="4"/>
      <c r="I26" s="4">
        <f t="shared" si="3"/>
        <v>0</v>
      </c>
      <c r="J26" s="4">
        <f t="shared" si="3"/>
        <v>0</v>
      </c>
      <c r="K26" s="4">
        <f t="shared" si="3"/>
        <v>2672760.3</v>
      </c>
      <c r="L26" s="4"/>
      <c r="M26" s="14">
        <v>0</v>
      </c>
      <c r="N26" s="14">
        <v>0</v>
      </c>
      <c r="O26" s="14">
        <v>2672760.3</v>
      </c>
      <c r="P26" s="4"/>
      <c r="Q26" s="14">
        <v>0</v>
      </c>
      <c r="R26" s="14">
        <v>0</v>
      </c>
      <c r="S26" s="14">
        <v>2672760.3</v>
      </c>
      <c r="T26" s="4"/>
      <c r="U26" s="4"/>
      <c r="V26" s="4"/>
      <c r="W26" s="4"/>
      <c r="X26" s="4"/>
      <c r="Y26" s="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>
      <c r="A27" s="38">
        <f t="shared" si="0"/>
        <v>13</v>
      </c>
      <c r="B27" s="11" t="s">
        <v>585</v>
      </c>
      <c r="C27" s="4">
        <f t="shared" si="1"/>
        <v>0</v>
      </c>
      <c r="D27" s="4">
        <f t="shared" si="2"/>
        <v>0</v>
      </c>
      <c r="E27" s="4"/>
      <c r="F27" s="4"/>
      <c r="G27" s="4">
        <f t="shared" si="4"/>
        <v>0</v>
      </c>
      <c r="H27" s="4"/>
      <c r="I27" s="4">
        <f t="shared" si="3"/>
        <v>0</v>
      </c>
      <c r="J27" s="4">
        <f t="shared" si="3"/>
        <v>0</v>
      </c>
      <c r="K27" s="4">
        <f t="shared" si="3"/>
        <v>0</v>
      </c>
      <c r="L27" s="4"/>
      <c r="M27" s="14">
        <v>0</v>
      </c>
      <c r="N27" s="14">
        <v>0</v>
      </c>
      <c r="O27" s="14">
        <v>0</v>
      </c>
      <c r="P27" s="4"/>
      <c r="Q27" s="14">
        <v>0</v>
      </c>
      <c r="R27" s="14">
        <v>0</v>
      </c>
      <c r="S27" s="14">
        <v>0</v>
      </c>
      <c r="T27" s="4"/>
      <c r="U27" s="4"/>
      <c r="V27" s="4"/>
      <c r="W27" s="4"/>
      <c r="X27" s="4"/>
      <c r="Y27" s="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2.75">
      <c r="A28" s="38">
        <f t="shared" si="0"/>
        <v>14</v>
      </c>
      <c r="B28" s="4" t="s">
        <v>198</v>
      </c>
      <c r="C28" s="4">
        <f t="shared" si="1"/>
        <v>27117.54</v>
      </c>
      <c r="D28" s="4">
        <f t="shared" si="2"/>
        <v>24297.260000000002</v>
      </c>
      <c r="E28" s="4"/>
      <c r="F28" s="4"/>
      <c r="G28" s="4">
        <f t="shared" si="4"/>
        <v>25707</v>
      </c>
      <c r="H28" s="4"/>
      <c r="I28" s="4">
        <f t="shared" si="3"/>
        <v>0</v>
      </c>
      <c r="J28" s="4">
        <f t="shared" si="3"/>
        <v>6260.005</v>
      </c>
      <c r="K28" s="4">
        <f t="shared" si="3"/>
        <v>19447.395</v>
      </c>
      <c r="L28" s="4"/>
      <c r="M28" s="14">
        <v>0</v>
      </c>
      <c r="N28" s="14">
        <v>6899.5</v>
      </c>
      <c r="O28" s="14">
        <v>20218.04</v>
      </c>
      <c r="P28" s="4"/>
      <c r="Q28" s="14">
        <v>0</v>
      </c>
      <c r="R28" s="14">
        <v>5620.51</v>
      </c>
      <c r="S28" s="14">
        <v>18676.75</v>
      </c>
      <c r="T28" s="4"/>
      <c r="U28" s="4"/>
      <c r="V28" s="4"/>
      <c r="W28" s="4"/>
      <c r="X28" s="4"/>
      <c r="Y28" s="4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2.75">
      <c r="A29" s="38">
        <f t="shared" si="0"/>
        <v>15</v>
      </c>
      <c r="B29" s="11" t="s">
        <v>199</v>
      </c>
      <c r="C29" s="4">
        <f t="shared" si="1"/>
        <v>26182.62</v>
      </c>
      <c r="D29" s="4">
        <f t="shared" si="2"/>
        <v>13417.06</v>
      </c>
      <c r="E29" s="4"/>
      <c r="F29" s="4"/>
      <c r="G29" s="4">
        <f t="shared" si="4"/>
        <v>19800</v>
      </c>
      <c r="H29" s="4"/>
      <c r="I29" s="4">
        <f t="shared" si="3"/>
        <v>0</v>
      </c>
      <c r="J29" s="4">
        <f t="shared" si="3"/>
        <v>0</v>
      </c>
      <c r="K29" s="4">
        <f t="shared" si="3"/>
        <v>19799.84</v>
      </c>
      <c r="L29" s="4"/>
      <c r="M29" s="14">
        <v>0</v>
      </c>
      <c r="N29" s="14">
        <v>0</v>
      </c>
      <c r="O29" s="14">
        <v>26182.62</v>
      </c>
      <c r="P29" s="4"/>
      <c r="Q29" s="14">
        <v>0</v>
      </c>
      <c r="R29" s="14">
        <v>0</v>
      </c>
      <c r="S29" s="14">
        <v>13417.06</v>
      </c>
      <c r="T29" s="4"/>
      <c r="U29" s="4"/>
      <c r="V29" s="4"/>
      <c r="W29" s="4"/>
      <c r="X29" s="4"/>
      <c r="Y29" s="4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75">
      <c r="A30" s="38">
        <f t="shared" si="0"/>
        <v>16</v>
      </c>
      <c r="B30" s="11" t="s">
        <v>200</v>
      </c>
      <c r="C30" s="4">
        <f t="shared" si="1"/>
        <v>54666.85</v>
      </c>
      <c r="D30" s="4">
        <f t="shared" si="2"/>
        <v>52467.1</v>
      </c>
      <c r="E30" s="4"/>
      <c r="F30" s="4"/>
      <c r="G30" s="4">
        <f t="shared" si="4"/>
        <v>53567</v>
      </c>
      <c r="H30" s="4"/>
      <c r="I30" s="4">
        <f t="shared" si="3"/>
        <v>0</v>
      </c>
      <c r="J30" s="4">
        <f t="shared" si="3"/>
        <v>0</v>
      </c>
      <c r="K30" s="4">
        <f t="shared" si="3"/>
        <v>53566.975</v>
      </c>
      <c r="L30" s="4"/>
      <c r="M30" s="14">
        <v>0</v>
      </c>
      <c r="N30" s="14">
        <v>0</v>
      </c>
      <c r="O30" s="14">
        <v>54666.85</v>
      </c>
      <c r="P30" s="4"/>
      <c r="Q30" s="14">
        <v>0</v>
      </c>
      <c r="R30" s="14">
        <v>0</v>
      </c>
      <c r="S30" s="14">
        <v>52467.1</v>
      </c>
      <c r="T30" s="4"/>
      <c r="U30" s="4"/>
      <c r="V30" s="4"/>
      <c r="W30" s="4"/>
      <c r="X30" s="4"/>
      <c r="Y30" s="4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>
      <c r="A31" s="38">
        <f t="shared" si="0"/>
        <v>17</v>
      </c>
      <c r="B31" s="4" t="s">
        <v>201</v>
      </c>
      <c r="C31" s="4">
        <f t="shared" si="1"/>
        <v>216803.27</v>
      </c>
      <c r="D31" s="4">
        <f t="shared" si="2"/>
        <v>196768.22</v>
      </c>
      <c r="E31" s="4"/>
      <c r="F31" s="4"/>
      <c r="G31" s="4">
        <f t="shared" si="4"/>
        <v>206786</v>
      </c>
      <c r="H31" s="4"/>
      <c r="I31" s="4">
        <f t="shared" si="3"/>
        <v>0</v>
      </c>
      <c r="J31" s="4">
        <f t="shared" si="3"/>
        <v>0</v>
      </c>
      <c r="K31" s="4">
        <f t="shared" si="3"/>
        <v>206785.745</v>
      </c>
      <c r="L31" s="4"/>
      <c r="M31" s="14">
        <v>0</v>
      </c>
      <c r="N31" s="14">
        <v>0</v>
      </c>
      <c r="O31" s="14">
        <v>216803.27</v>
      </c>
      <c r="P31" s="4"/>
      <c r="Q31" s="14">
        <v>0</v>
      </c>
      <c r="R31" s="14">
        <v>0</v>
      </c>
      <c r="S31" s="14">
        <v>196768.22</v>
      </c>
      <c r="T31" s="4"/>
      <c r="U31" s="4"/>
      <c r="V31" s="4"/>
      <c r="W31" s="4"/>
      <c r="X31" s="4"/>
      <c r="Y31" s="4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75">
      <c r="A32" s="38">
        <f t="shared" si="0"/>
        <v>18</v>
      </c>
      <c r="B32" s="4" t="s">
        <v>586</v>
      </c>
      <c r="C32" s="4">
        <f t="shared" si="1"/>
        <v>0</v>
      </c>
      <c r="D32" s="4">
        <f t="shared" si="2"/>
        <v>0</v>
      </c>
      <c r="E32" s="4"/>
      <c r="F32" s="4"/>
      <c r="G32" s="4">
        <f>ROUND(SUM(C32:F32)/2,0)</f>
        <v>0</v>
      </c>
      <c r="H32" s="4"/>
      <c r="I32" s="4">
        <f t="shared" si="3"/>
        <v>0</v>
      </c>
      <c r="J32" s="4">
        <f t="shared" si="3"/>
        <v>0</v>
      </c>
      <c r="K32" s="4">
        <f t="shared" si="3"/>
        <v>0</v>
      </c>
      <c r="L32" s="4"/>
      <c r="M32" s="14">
        <v>0</v>
      </c>
      <c r="N32" s="14">
        <v>0</v>
      </c>
      <c r="O32" s="14">
        <v>0</v>
      </c>
      <c r="P32" s="4"/>
      <c r="Q32" s="14">
        <v>0</v>
      </c>
      <c r="R32" s="14">
        <v>0</v>
      </c>
      <c r="S32" s="14">
        <v>0</v>
      </c>
      <c r="T32" s="4"/>
      <c r="U32" s="4"/>
      <c r="V32" s="4"/>
      <c r="W32" s="4"/>
      <c r="X32" s="4"/>
      <c r="Y32" s="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>
      <c r="A33" s="38">
        <f t="shared" si="0"/>
        <v>19</v>
      </c>
      <c r="B33" s="11" t="s">
        <v>203</v>
      </c>
      <c r="C33" s="4">
        <f t="shared" si="1"/>
        <v>949126.55</v>
      </c>
      <c r="D33" s="4">
        <f t="shared" si="2"/>
        <v>892452.49</v>
      </c>
      <c r="E33" s="4"/>
      <c r="F33" s="4"/>
      <c r="G33" s="4">
        <f t="shared" si="4"/>
        <v>920790</v>
      </c>
      <c r="H33" s="4"/>
      <c r="I33" s="4">
        <f t="shared" si="3"/>
        <v>0</v>
      </c>
      <c r="J33" s="4">
        <f t="shared" si="3"/>
        <v>0</v>
      </c>
      <c r="K33" s="4">
        <f t="shared" si="3"/>
        <v>920789.52</v>
      </c>
      <c r="L33" s="4"/>
      <c r="M33" s="14">
        <v>0</v>
      </c>
      <c r="N33" s="14">
        <v>0</v>
      </c>
      <c r="O33" s="14">
        <v>949126.55</v>
      </c>
      <c r="P33" s="4"/>
      <c r="Q33" s="14">
        <v>0</v>
      </c>
      <c r="R33" s="14">
        <v>0</v>
      </c>
      <c r="S33" s="14">
        <v>892452.49</v>
      </c>
      <c r="T33" s="4"/>
      <c r="U33" s="4"/>
      <c r="V33" s="4"/>
      <c r="W33" s="4"/>
      <c r="X33" s="4"/>
      <c r="Y33" s="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>
      <c r="A34" s="38">
        <f t="shared" si="0"/>
        <v>20</v>
      </c>
      <c r="B34" s="4" t="s">
        <v>587</v>
      </c>
      <c r="C34" s="4">
        <f t="shared" si="1"/>
        <v>0</v>
      </c>
      <c r="D34" s="4">
        <f t="shared" si="2"/>
        <v>0</v>
      </c>
      <c r="E34" s="4"/>
      <c r="F34" s="4"/>
      <c r="G34" s="4">
        <f t="shared" si="4"/>
        <v>0</v>
      </c>
      <c r="H34" s="4"/>
      <c r="I34" s="4">
        <f t="shared" si="3"/>
        <v>0</v>
      </c>
      <c r="J34" s="4">
        <f t="shared" si="3"/>
        <v>0</v>
      </c>
      <c r="K34" s="4">
        <f t="shared" si="3"/>
        <v>0</v>
      </c>
      <c r="L34" s="4"/>
      <c r="M34" s="14">
        <v>0</v>
      </c>
      <c r="N34" s="14">
        <v>0</v>
      </c>
      <c r="O34" s="14">
        <v>0</v>
      </c>
      <c r="P34" s="4"/>
      <c r="Q34" s="14">
        <v>0</v>
      </c>
      <c r="R34" s="14">
        <v>0</v>
      </c>
      <c r="S34" s="14">
        <v>0</v>
      </c>
      <c r="T34" s="4"/>
      <c r="U34" s="4"/>
      <c r="V34" s="4"/>
      <c r="W34" s="4"/>
      <c r="X34" s="4"/>
      <c r="Y34" s="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2.75">
      <c r="A35" s="38">
        <f t="shared" si="0"/>
        <v>21</v>
      </c>
      <c r="B35" s="4" t="s">
        <v>588</v>
      </c>
      <c r="C35" s="4">
        <f t="shared" si="1"/>
        <v>0</v>
      </c>
      <c r="D35" s="4">
        <f t="shared" si="2"/>
        <v>0</v>
      </c>
      <c r="E35" s="4"/>
      <c r="F35" s="4"/>
      <c r="G35" s="4">
        <f>ROUND(SUM(C35:F35)/2,0)</f>
        <v>0</v>
      </c>
      <c r="H35" s="4"/>
      <c r="I35" s="4">
        <f t="shared" si="3"/>
        <v>0</v>
      </c>
      <c r="J35" s="4">
        <f t="shared" si="3"/>
        <v>0</v>
      </c>
      <c r="K35" s="4">
        <f t="shared" si="3"/>
        <v>0</v>
      </c>
      <c r="L35" s="4"/>
      <c r="M35" s="14">
        <v>0</v>
      </c>
      <c r="N35" s="14">
        <v>0</v>
      </c>
      <c r="O35" s="14">
        <v>0</v>
      </c>
      <c r="P35" s="4"/>
      <c r="Q35" s="14">
        <v>0</v>
      </c>
      <c r="R35" s="14">
        <v>0</v>
      </c>
      <c r="S35" s="14">
        <v>0</v>
      </c>
      <c r="T35" s="4"/>
      <c r="U35" s="4"/>
      <c r="V35" s="4"/>
      <c r="W35" s="4"/>
      <c r="X35" s="4"/>
      <c r="Y35" s="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>
      <c r="A36" s="38">
        <f t="shared" si="0"/>
        <v>22</v>
      </c>
      <c r="B36" s="4" t="s">
        <v>204</v>
      </c>
      <c r="C36" s="4">
        <f t="shared" si="1"/>
        <v>64185.64</v>
      </c>
      <c r="D36" s="4">
        <f t="shared" si="2"/>
        <v>59608.18</v>
      </c>
      <c r="E36" s="4"/>
      <c r="F36" s="4"/>
      <c r="G36" s="4">
        <f t="shared" si="4"/>
        <v>61897</v>
      </c>
      <c r="H36" s="4"/>
      <c r="I36" s="4">
        <f t="shared" si="3"/>
        <v>0</v>
      </c>
      <c r="J36" s="4">
        <f t="shared" si="3"/>
        <v>0</v>
      </c>
      <c r="K36" s="4">
        <f t="shared" si="3"/>
        <v>61896.91</v>
      </c>
      <c r="L36" s="4"/>
      <c r="M36" s="14">
        <v>0</v>
      </c>
      <c r="N36" s="14">
        <v>0</v>
      </c>
      <c r="O36" s="14">
        <v>64185.64</v>
      </c>
      <c r="P36" s="4"/>
      <c r="Q36" s="14">
        <v>0</v>
      </c>
      <c r="R36" s="14">
        <v>0</v>
      </c>
      <c r="S36" s="14">
        <v>59608.18</v>
      </c>
      <c r="T36" s="4"/>
      <c r="U36" s="4"/>
      <c r="V36" s="4"/>
      <c r="W36" s="4"/>
      <c r="X36" s="4"/>
      <c r="Y36" s="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>
      <c r="A37" s="38">
        <f t="shared" si="0"/>
        <v>23</v>
      </c>
      <c r="B37" s="4" t="s">
        <v>589</v>
      </c>
      <c r="C37" s="4">
        <f t="shared" si="1"/>
        <v>0</v>
      </c>
      <c r="D37" s="4">
        <f t="shared" si="2"/>
        <v>0</v>
      </c>
      <c r="E37" s="4"/>
      <c r="F37" s="4"/>
      <c r="G37" s="4">
        <f>ROUND(SUM(C37:F37)/2,0)</f>
        <v>0</v>
      </c>
      <c r="H37" s="4"/>
      <c r="I37" s="4">
        <f t="shared" si="3"/>
        <v>0</v>
      </c>
      <c r="J37" s="4">
        <f t="shared" si="3"/>
        <v>0</v>
      </c>
      <c r="K37" s="4">
        <f t="shared" si="3"/>
        <v>0</v>
      </c>
      <c r="L37" s="4"/>
      <c r="M37" s="14">
        <v>0</v>
      </c>
      <c r="N37" s="14">
        <v>0</v>
      </c>
      <c r="O37" s="14">
        <v>0</v>
      </c>
      <c r="P37" s="4"/>
      <c r="Q37" s="14">
        <v>0</v>
      </c>
      <c r="R37" s="14">
        <v>0</v>
      </c>
      <c r="S37" s="14">
        <v>0</v>
      </c>
      <c r="T37" s="4"/>
      <c r="U37" s="4"/>
      <c r="V37" s="4"/>
      <c r="W37" s="4"/>
      <c r="X37" s="4"/>
      <c r="Y37" s="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>
      <c r="A38" s="38">
        <f t="shared" si="0"/>
        <v>24</v>
      </c>
      <c r="B38" s="4" t="s">
        <v>413</v>
      </c>
      <c r="C38" s="4">
        <f t="shared" si="1"/>
        <v>0</v>
      </c>
      <c r="D38" s="4">
        <f t="shared" si="2"/>
        <v>0</v>
      </c>
      <c r="E38" s="4"/>
      <c r="F38" s="4"/>
      <c r="G38" s="4">
        <f>ROUND(SUM(C38:F38)/2,0)</f>
        <v>0</v>
      </c>
      <c r="H38" s="4"/>
      <c r="I38" s="4">
        <f t="shared" si="3"/>
        <v>0</v>
      </c>
      <c r="J38" s="4">
        <f t="shared" si="3"/>
        <v>0</v>
      </c>
      <c r="K38" s="4">
        <f t="shared" si="3"/>
        <v>0</v>
      </c>
      <c r="L38" s="4"/>
      <c r="M38" s="14">
        <v>0</v>
      </c>
      <c r="N38" s="14">
        <v>0</v>
      </c>
      <c r="O38" s="14">
        <v>0</v>
      </c>
      <c r="P38" s="4"/>
      <c r="Q38" s="14">
        <v>0</v>
      </c>
      <c r="R38" s="14">
        <v>0</v>
      </c>
      <c r="S38" s="14">
        <v>0</v>
      </c>
      <c r="T38" s="4"/>
      <c r="U38" s="4"/>
      <c r="V38" s="4"/>
      <c r="W38" s="4"/>
      <c r="X38" s="4"/>
      <c r="Y38" s="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38">
        <f>+A36+1</f>
        <v>23</v>
      </c>
      <c r="B39" s="4" t="s">
        <v>205</v>
      </c>
      <c r="C39" s="4">
        <f t="shared" si="1"/>
        <v>0</v>
      </c>
      <c r="D39" s="4">
        <f t="shared" si="2"/>
        <v>0</v>
      </c>
      <c r="E39" s="4"/>
      <c r="F39" s="4"/>
      <c r="G39" s="4">
        <f t="shared" si="4"/>
        <v>0</v>
      </c>
      <c r="H39" s="4"/>
      <c r="I39" s="4">
        <f t="shared" si="3"/>
        <v>0</v>
      </c>
      <c r="J39" s="4">
        <f t="shared" si="3"/>
        <v>0</v>
      </c>
      <c r="K39" s="4">
        <f t="shared" si="3"/>
        <v>0</v>
      </c>
      <c r="L39" s="4"/>
      <c r="M39" s="14">
        <v>0</v>
      </c>
      <c r="N39" s="14">
        <v>0</v>
      </c>
      <c r="O39" s="14">
        <v>0</v>
      </c>
      <c r="P39" s="4"/>
      <c r="Q39" s="14">
        <v>0</v>
      </c>
      <c r="R39" s="14">
        <v>0</v>
      </c>
      <c r="S39" s="14">
        <v>0</v>
      </c>
      <c r="T39" s="4"/>
      <c r="U39" s="4"/>
      <c r="V39" s="4"/>
      <c r="W39" s="4"/>
      <c r="X39" s="4"/>
      <c r="Y39" s="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38">
        <f t="shared" si="0"/>
        <v>24</v>
      </c>
      <c r="B40" s="11" t="s">
        <v>206</v>
      </c>
      <c r="C40" s="4">
        <f t="shared" si="1"/>
        <v>0</v>
      </c>
      <c r="D40" s="4">
        <f t="shared" si="2"/>
        <v>0</v>
      </c>
      <c r="E40" s="4"/>
      <c r="F40" s="4"/>
      <c r="G40" s="4">
        <f>ROUND(SUM(C40:F40)/2,0)</f>
        <v>0</v>
      </c>
      <c r="H40" s="4"/>
      <c r="I40" s="4">
        <f t="shared" si="3"/>
        <v>0</v>
      </c>
      <c r="J40" s="4">
        <f t="shared" si="3"/>
        <v>0</v>
      </c>
      <c r="K40" s="4">
        <f t="shared" si="3"/>
        <v>0</v>
      </c>
      <c r="L40" s="4"/>
      <c r="M40" s="14">
        <v>0</v>
      </c>
      <c r="N40" s="14">
        <v>0</v>
      </c>
      <c r="O40" s="14">
        <v>0</v>
      </c>
      <c r="P40" s="4"/>
      <c r="Q40" s="14">
        <v>0</v>
      </c>
      <c r="R40" s="14">
        <v>0</v>
      </c>
      <c r="S40" s="14">
        <v>0</v>
      </c>
      <c r="T40" s="4"/>
      <c r="U40" s="4"/>
      <c r="V40" s="4"/>
      <c r="W40" s="4"/>
      <c r="X40" s="4"/>
      <c r="Y40" s="4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38">
        <f t="shared" si="0"/>
        <v>25</v>
      </c>
      <c r="B41" s="11" t="s">
        <v>590</v>
      </c>
      <c r="C41" s="4">
        <f t="shared" si="1"/>
        <v>2752815.8</v>
      </c>
      <c r="D41" s="4">
        <f t="shared" si="2"/>
        <v>2752815.78</v>
      </c>
      <c r="E41" s="4"/>
      <c r="F41" s="4"/>
      <c r="G41" s="4">
        <f t="shared" si="4"/>
        <v>2752816</v>
      </c>
      <c r="H41" s="4"/>
      <c r="I41" s="4">
        <f t="shared" si="3"/>
        <v>0</v>
      </c>
      <c r="J41" s="4">
        <f t="shared" si="3"/>
        <v>0</v>
      </c>
      <c r="K41" s="4">
        <f t="shared" si="3"/>
        <v>2752815.79</v>
      </c>
      <c r="L41" s="4"/>
      <c r="M41" s="14">
        <v>0</v>
      </c>
      <c r="N41" s="14">
        <v>0</v>
      </c>
      <c r="O41" s="14">
        <v>2752815.8</v>
      </c>
      <c r="P41" s="4"/>
      <c r="Q41" s="14">
        <v>0</v>
      </c>
      <c r="R41" s="14">
        <v>0</v>
      </c>
      <c r="S41" s="14">
        <v>2752815.78</v>
      </c>
      <c r="T41" s="4"/>
      <c r="U41" s="4"/>
      <c r="V41" s="4"/>
      <c r="W41" s="4"/>
      <c r="X41" s="4"/>
      <c r="Y41" s="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38">
        <f t="shared" si="0"/>
        <v>26</v>
      </c>
      <c r="B42" s="11" t="s">
        <v>591</v>
      </c>
      <c r="C42" s="4">
        <f t="shared" si="1"/>
        <v>0</v>
      </c>
      <c r="D42" s="4">
        <f t="shared" si="2"/>
        <v>0</v>
      </c>
      <c r="E42" s="4"/>
      <c r="F42" s="4"/>
      <c r="G42" s="4">
        <f t="shared" si="4"/>
        <v>0</v>
      </c>
      <c r="H42" s="4"/>
      <c r="I42" s="4">
        <f t="shared" si="3"/>
        <v>0</v>
      </c>
      <c r="J42" s="4">
        <f t="shared" si="3"/>
        <v>0</v>
      </c>
      <c r="K42" s="4">
        <f t="shared" si="3"/>
        <v>0</v>
      </c>
      <c r="L42" s="4"/>
      <c r="M42" s="14">
        <v>0</v>
      </c>
      <c r="N42" s="14">
        <v>0</v>
      </c>
      <c r="O42" s="14">
        <v>0</v>
      </c>
      <c r="P42" s="4"/>
      <c r="Q42" s="14">
        <v>0</v>
      </c>
      <c r="R42" s="14">
        <v>0</v>
      </c>
      <c r="S42" s="14">
        <v>0</v>
      </c>
      <c r="T42" s="4"/>
      <c r="U42" s="4"/>
      <c r="V42" s="4"/>
      <c r="W42" s="4"/>
      <c r="X42" s="4"/>
      <c r="Y42" s="4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38">
        <f t="shared" si="0"/>
        <v>27</v>
      </c>
      <c r="B43" s="11" t="s">
        <v>592</v>
      </c>
      <c r="C43" s="4">
        <f t="shared" si="1"/>
        <v>0</v>
      </c>
      <c r="D43" s="4">
        <f t="shared" si="2"/>
        <v>0</v>
      </c>
      <c r="E43" s="4"/>
      <c r="F43" s="4"/>
      <c r="G43" s="4">
        <f>ROUND(SUM(C43:F43)/2,0)</f>
        <v>0</v>
      </c>
      <c r="H43" s="4"/>
      <c r="I43" s="4">
        <f t="shared" si="3"/>
        <v>0</v>
      </c>
      <c r="J43" s="4">
        <f t="shared" si="3"/>
        <v>0</v>
      </c>
      <c r="K43" s="4">
        <f t="shared" si="3"/>
        <v>0</v>
      </c>
      <c r="L43" s="4"/>
      <c r="M43" s="14">
        <v>0</v>
      </c>
      <c r="N43" s="14">
        <v>0</v>
      </c>
      <c r="O43" s="14">
        <v>0</v>
      </c>
      <c r="P43" s="4"/>
      <c r="Q43" s="14">
        <v>0</v>
      </c>
      <c r="R43" s="14">
        <v>0</v>
      </c>
      <c r="S43" s="14">
        <v>0</v>
      </c>
      <c r="T43" s="4"/>
      <c r="U43" s="4"/>
      <c r="V43" s="4"/>
      <c r="W43" s="4"/>
      <c r="X43" s="4"/>
      <c r="Y43" s="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38">
        <f t="shared" si="0"/>
        <v>28</v>
      </c>
      <c r="B44" s="4" t="s">
        <v>207</v>
      </c>
      <c r="C44" s="4">
        <f t="shared" si="1"/>
        <v>0</v>
      </c>
      <c r="D44" s="4">
        <f t="shared" si="2"/>
        <v>0</v>
      </c>
      <c r="E44" s="4"/>
      <c r="F44" s="4"/>
      <c r="G44" s="4">
        <f>ROUND(SUM(C44:F44)/2,0)</f>
        <v>0</v>
      </c>
      <c r="H44" s="4"/>
      <c r="I44" s="4">
        <f t="shared" si="3"/>
        <v>0</v>
      </c>
      <c r="J44" s="4">
        <f t="shared" si="3"/>
        <v>0</v>
      </c>
      <c r="K44" s="4">
        <f t="shared" si="3"/>
        <v>0</v>
      </c>
      <c r="L44" s="4"/>
      <c r="M44" s="14">
        <v>0</v>
      </c>
      <c r="N44" s="14">
        <v>0</v>
      </c>
      <c r="O44" s="14">
        <v>0</v>
      </c>
      <c r="P44" s="4"/>
      <c r="Q44" s="14">
        <v>0</v>
      </c>
      <c r="R44" s="14">
        <v>0</v>
      </c>
      <c r="S44" s="14">
        <v>0</v>
      </c>
      <c r="T44" s="4"/>
      <c r="U44" s="4"/>
      <c r="V44" s="4"/>
      <c r="W44" s="4"/>
      <c r="X44" s="4"/>
      <c r="Y44" s="4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38">
        <f t="shared" si="0"/>
        <v>29</v>
      </c>
      <c r="B45" s="4" t="s">
        <v>208</v>
      </c>
      <c r="C45" s="4">
        <f t="shared" si="1"/>
        <v>4475152.71</v>
      </c>
      <c r="D45" s="4">
        <f t="shared" si="2"/>
        <v>3136186.6199999996</v>
      </c>
      <c r="E45" s="4"/>
      <c r="F45" s="4"/>
      <c r="G45" s="4">
        <f t="shared" si="4"/>
        <v>3805670</v>
      </c>
      <c r="H45" s="4"/>
      <c r="I45" s="4">
        <f t="shared" si="3"/>
        <v>0</v>
      </c>
      <c r="J45" s="4">
        <f t="shared" si="3"/>
        <v>-82218.36499999999</v>
      </c>
      <c r="K45" s="4">
        <f t="shared" si="3"/>
        <v>3887888.0300000003</v>
      </c>
      <c r="L45" s="4"/>
      <c r="M45" s="14">
        <v>0</v>
      </c>
      <c r="N45" s="14">
        <v>-80225.78</v>
      </c>
      <c r="O45" s="14">
        <v>4555378.49</v>
      </c>
      <c r="P45" s="4"/>
      <c r="Q45" s="14">
        <v>0</v>
      </c>
      <c r="R45" s="14">
        <v>-84210.95</v>
      </c>
      <c r="S45" s="14">
        <v>3220397.57</v>
      </c>
      <c r="T45" s="4"/>
      <c r="U45" s="4"/>
      <c r="V45" s="4"/>
      <c r="W45" s="4"/>
      <c r="X45" s="4"/>
      <c r="Y45" s="4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38">
        <f t="shared" si="0"/>
        <v>30</v>
      </c>
      <c r="B46" s="11" t="s">
        <v>209</v>
      </c>
      <c r="C46" s="4">
        <f t="shared" si="1"/>
        <v>17500.05</v>
      </c>
      <c r="D46" s="4">
        <f t="shared" si="2"/>
        <v>15380.18</v>
      </c>
      <c r="E46" s="4"/>
      <c r="F46" s="4"/>
      <c r="G46" s="4">
        <f>ROUND(SUM(C46:F46)/2,0)</f>
        <v>16440</v>
      </c>
      <c r="H46" s="4"/>
      <c r="I46" s="4">
        <f t="shared" si="3"/>
        <v>0</v>
      </c>
      <c r="J46" s="4">
        <f t="shared" si="3"/>
        <v>0</v>
      </c>
      <c r="K46" s="4">
        <f t="shared" si="3"/>
        <v>16440.114999999998</v>
      </c>
      <c r="L46" s="4"/>
      <c r="M46" s="14">
        <v>0</v>
      </c>
      <c r="N46" s="14">
        <v>0</v>
      </c>
      <c r="O46" s="14">
        <v>17500.05</v>
      </c>
      <c r="P46" s="4"/>
      <c r="Q46" s="14">
        <v>0</v>
      </c>
      <c r="R46" s="14">
        <v>0</v>
      </c>
      <c r="S46" s="14">
        <v>15380.18</v>
      </c>
      <c r="T46" s="4"/>
      <c r="U46" s="4"/>
      <c r="V46" s="4"/>
      <c r="W46" s="4"/>
      <c r="X46" s="4"/>
      <c r="Y46" s="4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38">
        <f t="shared" si="0"/>
        <v>31</v>
      </c>
      <c r="B47" s="4" t="s">
        <v>210</v>
      </c>
      <c r="C47" s="4">
        <f t="shared" si="1"/>
        <v>2905629.02</v>
      </c>
      <c r="D47" s="4">
        <f t="shared" si="2"/>
        <v>2675991.05</v>
      </c>
      <c r="E47" s="4"/>
      <c r="F47" s="4"/>
      <c r="G47" s="4">
        <f t="shared" si="4"/>
        <v>2790810</v>
      </c>
      <c r="H47" s="4"/>
      <c r="I47" s="4">
        <f t="shared" si="3"/>
        <v>0</v>
      </c>
      <c r="J47" s="4">
        <f t="shared" si="3"/>
        <v>-135272.38</v>
      </c>
      <c r="K47" s="4">
        <f t="shared" si="3"/>
        <v>2926082.415</v>
      </c>
      <c r="L47" s="4"/>
      <c r="M47" s="14">
        <v>0</v>
      </c>
      <c r="N47" s="14">
        <v>-134762.95</v>
      </c>
      <c r="O47" s="14">
        <v>3040391.97</v>
      </c>
      <c r="P47" s="4"/>
      <c r="Q47" s="14">
        <v>0</v>
      </c>
      <c r="R47" s="14">
        <v>-135781.81</v>
      </c>
      <c r="S47" s="14">
        <v>2811772.86</v>
      </c>
      <c r="T47" s="4"/>
      <c r="U47" s="4"/>
      <c r="V47" s="4"/>
      <c r="W47" s="4"/>
      <c r="X47" s="4"/>
      <c r="Y47" s="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38">
        <f t="shared" si="0"/>
        <v>32</v>
      </c>
      <c r="B48" s="4" t="s">
        <v>211</v>
      </c>
      <c r="C48" s="4">
        <f t="shared" si="1"/>
        <v>25792.03</v>
      </c>
      <c r="D48" s="4">
        <f t="shared" si="2"/>
        <v>21368.67</v>
      </c>
      <c r="E48" s="4"/>
      <c r="F48" s="4"/>
      <c r="G48" s="4">
        <f>ROUND(SUM(C48:F48)/2,0)</f>
        <v>23580</v>
      </c>
      <c r="H48" s="4"/>
      <c r="I48" s="4">
        <f t="shared" si="3"/>
        <v>0</v>
      </c>
      <c r="J48" s="4">
        <f t="shared" si="3"/>
        <v>0</v>
      </c>
      <c r="K48" s="4">
        <f t="shared" si="3"/>
        <v>23580.35</v>
      </c>
      <c r="L48" s="4"/>
      <c r="M48" s="14">
        <v>0</v>
      </c>
      <c r="N48" s="14">
        <v>0</v>
      </c>
      <c r="O48" s="14">
        <v>25792.03</v>
      </c>
      <c r="P48" s="4"/>
      <c r="Q48" s="14">
        <v>0</v>
      </c>
      <c r="R48" s="14">
        <v>0</v>
      </c>
      <c r="S48" s="14">
        <v>21368.67</v>
      </c>
      <c r="T48" s="4"/>
      <c r="U48" s="4"/>
      <c r="V48" s="4"/>
      <c r="W48" s="4"/>
      <c r="X48" s="4"/>
      <c r="Y48" s="4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38">
        <f t="shared" si="0"/>
        <v>33</v>
      </c>
      <c r="B49" s="4" t="s">
        <v>593</v>
      </c>
      <c r="C49" s="4">
        <f aca="true" t="shared" si="5" ref="C49:C80">SUM(M49:O49)</f>
        <v>0</v>
      </c>
      <c r="D49" s="4">
        <f t="shared" si="2"/>
        <v>0</v>
      </c>
      <c r="E49" s="4"/>
      <c r="F49" s="4"/>
      <c r="G49" s="4">
        <f t="shared" si="4"/>
        <v>0</v>
      </c>
      <c r="H49" s="4"/>
      <c r="I49" s="4">
        <f aca="true" t="shared" si="6" ref="I49:K80">(M49+Q49)/2</f>
        <v>0</v>
      </c>
      <c r="J49" s="4">
        <f t="shared" si="6"/>
        <v>0</v>
      </c>
      <c r="K49" s="4">
        <f t="shared" si="6"/>
        <v>0</v>
      </c>
      <c r="L49" s="4"/>
      <c r="M49" s="14">
        <v>0</v>
      </c>
      <c r="N49" s="14">
        <v>0</v>
      </c>
      <c r="O49" s="14">
        <v>0</v>
      </c>
      <c r="P49" s="4"/>
      <c r="Q49" s="14">
        <v>0</v>
      </c>
      <c r="R49" s="14">
        <v>0</v>
      </c>
      <c r="S49" s="14">
        <v>0</v>
      </c>
      <c r="T49" s="4"/>
      <c r="U49" s="4"/>
      <c r="V49" s="4"/>
      <c r="W49" s="4"/>
      <c r="X49" s="4"/>
      <c r="Y49" s="4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38">
        <f t="shared" si="0"/>
        <v>34</v>
      </c>
      <c r="B50" s="4" t="s">
        <v>594</v>
      </c>
      <c r="C50" s="4">
        <f t="shared" si="5"/>
        <v>350000</v>
      </c>
      <c r="D50" s="4">
        <f t="shared" si="2"/>
        <v>0</v>
      </c>
      <c r="E50" s="4"/>
      <c r="F50" s="4"/>
      <c r="G50" s="4">
        <f t="shared" si="4"/>
        <v>175000</v>
      </c>
      <c r="H50" s="4"/>
      <c r="I50" s="4">
        <f t="shared" si="6"/>
        <v>0</v>
      </c>
      <c r="J50" s="4">
        <f t="shared" si="6"/>
        <v>0</v>
      </c>
      <c r="K50" s="4">
        <f t="shared" si="6"/>
        <v>175000</v>
      </c>
      <c r="L50" s="4"/>
      <c r="M50" s="14">
        <v>0</v>
      </c>
      <c r="N50" s="14">
        <v>0</v>
      </c>
      <c r="O50" s="14">
        <v>350000</v>
      </c>
      <c r="P50" s="4"/>
      <c r="Q50" s="14">
        <v>0</v>
      </c>
      <c r="R50" s="14">
        <v>0</v>
      </c>
      <c r="S50" s="14">
        <v>0</v>
      </c>
      <c r="T50" s="4"/>
      <c r="U50" s="4"/>
      <c r="V50" s="4"/>
      <c r="W50" s="4"/>
      <c r="X50" s="4"/>
      <c r="Y50" s="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38">
        <f t="shared" si="0"/>
        <v>35</v>
      </c>
      <c r="B51" s="4" t="s">
        <v>595</v>
      </c>
      <c r="C51" s="4">
        <f t="shared" si="5"/>
        <v>350000</v>
      </c>
      <c r="D51" s="4">
        <f t="shared" si="2"/>
        <v>140000</v>
      </c>
      <c r="E51" s="4"/>
      <c r="F51" s="4"/>
      <c r="G51" s="4">
        <f t="shared" si="4"/>
        <v>245000</v>
      </c>
      <c r="H51" s="4"/>
      <c r="I51" s="4">
        <f t="shared" si="6"/>
        <v>0</v>
      </c>
      <c r="J51" s="4">
        <f t="shared" si="6"/>
        <v>0</v>
      </c>
      <c r="K51" s="4">
        <f t="shared" si="6"/>
        <v>245000</v>
      </c>
      <c r="L51" s="4"/>
      <c r="M51" s="14">
        <v>0</v>
      </c>
      <c r="N51" s="14">
        <v>0</v>
      </c>
      <c r="O51" s="14">
        <v>350000</v>
      </c>
      <c r="P51" s="4"/>
      <c r="Q51" s="14">
        <v>0</v>
      </c>
      <c r="R51" s="14">
        <v>0</v>
      </c>
      <c r="S51" s="14">
        <v>140000</v>
      </c>
      <c r="T51" s="4"/>
      <c r="U51" s="4"/>
      <c r="V51" s="4"/>
      <c r="W51" s="4"/>
      <c r="X51" s="4"/>
      <c r="Y51" s="4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>
      <c r="A52" s="38">
        <f t="shared" si="0"/>
        <v>36</v>
      </c>
      <c r="B52" s="4" t="s">
        <v>596</v>
      </c>
      <c r="C52" s="4">
        <f t="shared" si="5"/>
        <v>1400000</v>
      </c>
      <c r="D52" s="4">
        <f t="shared" si="2"/>
        <v>0</v>
      </c>
      <c r="E52" s="4"/>
      <c r="F52" s="4"/>
      <c r="G52" s="4">
        <f t="shared" si="4"/>
        <v>700000</v>
      </c>
      <c r="H52" s="4"/>
      <c r="I52" s="4">
        <f t="shared" si="6"/>
        <v>0</v>
      </c>
      <c r="J52" s="4">
        <f t="shared" si="6"/>
        <v>0</v>
      </c>
      <c r="K52" s="4">
        <f t="shared" si="6"/>
        <v>700000</v>
      </c>
      <c r="L52" s="4"/>
      <c r="M52" s="14">
        <v>0</v>
      </c>
      <c r="N52" s="14">
        <v>0</v>
      </c>
      <c r="O52" s="14">
        <v>1400000</v>
      </c>
      <c r="P52" s="4"/>
      <c r="Q52" s="14">
        <v>0</v>
      </c>
      <c r="R52" s="14">
        <v>0</v>
      </c>
      <c r="S52" s="14">
        <v>0</v>
      </c>
      <c r="T52" s="4"/>
      <c r="U52" s="4"/>
      <c r="V52" s="4"/>
      <c r="W52" s="4"/>
      <c r="X52" s="4"/>
      <c r="Y52" s="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>
      <c r="A53" s="38">
        <f t="shared" si="0"/>
        <v>37</v>
      </c>
      <c r="B53" s="4" t="s">
        <v>597</v>
      </c>
      <c r="C53" s="4">
        <f t="shared" si="5"/>
        <v>1355911.6</v>
      </c>
      <c r="D53" s="4">
        <f t="shared" si="2"/>
        <v>1101501.04</v>
      </c>
      <c r="E53" s="4"/>
      <c r="F53" s="4"/>
      <c r="G53" s="4">
        <f t="shared" si="4"/>
        <v>1228706</v>
      </c>
      <c r="H53" s="4"/>
      <c r="I53" s="4">
        <f t="shared" si="6"/>
        <v>0</v>
      </c>
      <c r="J53" s="4">
        <f t="shared" si="6"/>
        <v>0</v>
      </c>
      <c r="K53" s="4">
        <f t="shared" si="6"/>
        <v>1228706.32</v>
      </c>
      <c r="L53" s="4"/>
      <c r="M53" s="14">
        <v>0</v>
      </c>
      <c r="N53" s="14">
        <v>0</v>
      </c>
      <c r="O53" s="14">
        <v>1355911.6</v>
      </c>
      <c r="P53" s="4"/>
      <c r="Q53" s="14">
        <v>0</v>
      </c>
      <c r="R53" s="14">
        <v>0</v>
      </c>
      <c r="S53" s="14">
        <v>1101501.04</v>
      </c>
      <c r="T53" s="4"/>
      <c r="U53" s="4"/>
      <c r="V53" s="4"/>
      <c r="W53" s="4"/>
      <c r="X53" s="4"/>
      <c r="Y53" s="4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38">
        <f t="shared" si="0"/>
        <v>38</v>
      </c>
      <c r="B54" s="4" t="s">
        <v>598</v>
      </c>
      <c r="C54" s="4">
        <f t="shared" si="5"/>
        <v>0</v>
      </c>
      <c r="D54" s="4">
        <f t="shared" si="2"/>
        <v>0</v>
      </c>
      <c r="E54" s="4"/>
      <c r="F54" s="4"/>
      <c r="G54" s="4">
        <f>ROUND(SUM(C54:F54)/2,0)</f>
        <v>0</v>
      </c>
      <c r="H54" s="4"/>
      <c r="I54" s="4">
        <f t="shared" si="6"/>
        <v>0</v>
      </c>
      <c r="J54" s="4">
        <f t="shared" si="6"/>
        <v>0</v>
      </c>
      <c r="K54" s="4">
        <f t="shared" si="6"/>
        <v>0</v>
      </c>
      <c r="L54" s="4"/>
      <c r="M54" s="14">
        <v>0</v>
      </c>
      <c r="N54" s="14">
        <v>0</v>
      </c>
      <c r="O54" s="14">
        <v>0</v>
      </c>
      <c r="P54" s="4"/>
      <c r="Q54" s="14">
        <v>0</v>
      </c>
      <c r="R54" s="14">
        <v>0</v>
      </c>
      <c r="S54" s="14">
        <v>0</v>
      </c>
      <c r="T54" s="4"/>
      <c r="U54" s="4"/>
      <c r="V54" s="4"/>
      <c r="W54" s="4"/>
      <c r="X54" s="4"/>
      <c r="Y54" s="4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>
      <c r="A55" s="38">
        <f t="shared" si="0"/>
        <v>39</v>
      </c>
      <c r="B55" s="11" t="s">
        <v>460</v>
      </c>
      <c r="C55" s="4">
        <f t="shared" si="5"/>
        <v>0</v>
      </c>
      <c r="D55" s="4">
        <f t="shared" si="2"/>
        <v>0.01</v>
      </c>
      <c r="E55" s="4"/>
      <c r="F55" s="4"/>
      <c r="G55" s="4">
        <f>ROUND(SUM(C55:F55)/2,0)</f>
        <v>0</v>
      </c>
      <c r="H55" s="4"/>
      <c r="I55" s="4">
        <f t="shared" si="6"/>
        <v>0</v>
      </c>
      <c r="J55" s="4">
        <f t="shared" si="6"/>
        <v>0</v>
      </c>
      <c r="K55" s="4">
        <f t="shared" si="6"/>
        <v>0.005</v>
      </c>
      <c r="L55" s="4"/>
      <c r="M55" s="14">
        <v>0</v>
      </c>
      <c r="N55" s="14">
        <v>0</v>
      </c>
      <c r="O55" s="14">
        <v>0</v>
      </c>
      <c r="P55" s="4"/>
      <c r="Q55" s="14">
        <v>0</v>
      </c>
      <c r="R55" s="14">
        <v>0</v>
      </c>
      <c r="S55" s="14">
        <v>0.01</v>
      </c>
      <c r="T55" s="4"/>
      <c r="U55" s="4"/>
      <c r="V55" s="4"/>
      <c r="W55" s="4"/>
      <c r="X55" s="4"/>
      <c r="Y55" s="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>
      <c r="A56" s="38">
        <f t="shared" si="0"/>
        <v>40</v>
      </c>
      <c r="B56" s="11" t="s">
        <v>599</v>
      </c>
      <c r="C56" s="4">
        <f t="shared" si="5"/>
        <v>0</v>
      </c>
      <c r="D56" s="4">
        <f t="shared" si="2"/>
        <v>0</v>
      </c>
      <c r="E56" s="4"/>
      <c r="F56" s="4"/>
      <c r="G56" s="4">
        <f t="shared" si="4"/>
        <v>0</v>
      </c>
      <c r="H56" s="4"/>
      <c r="I56" s="4">
        <f t="shared" si="6"/>
        <v>0</v>
      </c>
      <c r="J56" s="4">
        <f t="shared" si="6"/>
        <v>0</v>
      </c>
      <c r="K56" s="4">
        <f t="shared" si="6"/>
        <v>0</v>
      </c>
      <c r="L56" s="4"/>
      <c r="M56" s="14">
        <v>0</v>
      </c>
      <c r="N56" s="14">
        <v>0</v>
      </c>
      <c r="O56" s="14">
        <v>0</v>
      </c>
      <c r="P56" s="4"/>
      <c r="Q56" s="14">
        <v>0</v>
      </c>
      <c r="R56" s="14">
        <v>0</v>
      </c>
      <c r="S56" s="14">
        <v>0</v>
      </c>
      <c r="T56" s="4"/>
      <c r="U56" s="4"/>
      <c r="V56" s="4"/>
      <c r="W56" s="4"/>
      <c r="X56" s="4"/>
      <c r="Y56" s="4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>
      <c r="A57" s="38">
        <f t="shared" si="0"/>
        <v>41</v>
      </c>
      <c r="B57" s="4" t="s">
        <v>213</v>
      </c>
      <c r="C57" s="4">
        <f t="shared" si="5"/>
        <v>0</v>
      </c>
      <c r="D57" s="4">
        <f t="shared" si="2"/>
        <v>0</v>
      </c>
      <c r="E57" s="4"/>
      <c r="F57" s="4"/>
      <c r="G57" s="4">
        <f t="shared" si="4"/>
        <v>0</v>
      </c>
      <c r="H57" s="4"/>
      <c r="I57" s="4">
        <f t="shared" si="6"/>
        <v>0</v>
      </c>
      <c r="J57" s="4">
        <f t="shared" si="6"/>
        <v>0</v>
      </c>
      <c r="K57" s="4">
        <f t="shared" si="6"/>
        <v>0</v>
      </c>
      <c r="L57" s="4"/>
      <c r="M57" s="14">
        <f>-8090+8090</f>
        <v>0</v>
      </c>
      <c r="N57" s="14">
        <v>0</v>
      </c>
      <c r="O57" s="14">
        <v>0</v>
      </c>
      <c r="P57" s="4"/>
      <c r="Q57" s="14">
        <f>-8090+8090</f>
        <v>0</v>
      </c>
      <c r="R57" s="14">
        <f>3025-3025</f>
        <v>0</v>
      </c>
      <c r="S57" s="14">
        <f>5442-5442</f>
        <v>0</v>
      </c>
      <c r="T57" s="4"/>
      <c r="U57" s="4"/>
      <c r="V57" s="4"/>
      <c r="W57" s="4"/>
      <c r="X57" s="4"/>
      <c r="Y57" s="4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>
      <c r="A58" s="38">
        <f t="shared" si="0"/>
        <v>42</v>
      </c>
      <c r="B58" s="11" t="s">
        <v>214</v>
      </c>
      <c r="C58" s="4">
        <f t="shared" si="5"/>
        <v>-72068.99999999997</v>
      </c>
      <c r="D58" s="4">
        <f t="shared" si="2"/>
        <v>-144151.49999999997</v>
      </c>
      <c r="E58" s="4"/>
      <c r="F58" s="4"/>
      <c r="G58" s="4">
        <f t="shared" si="4"/>
        <v>-108110</v>
      </c>
      <c r="H58" s="4"/>
      <c r="I58" s="4">
        <f t="shared" si="6"/>
        <v>0</v>
      </c>
      <c r="J58" s="4">
        <f t="shared" si="6"/>
        <v>-48308.84999999998</v>
      </c>
      <c r="K58" s="4">
        <f t="shared" si="6"/>
        <v>-59801.399999999994</v>
      </c>
      <c r="L58" s="4"/>
      <c r="M58" s="14">
        <v>0</v>
      </c>
      <c r="N58" s="14">
        <v>-48308.84999999998</v>
      </c>
      <c r="O58" s="14">
        <v>-23760.15</v>
      </c>
      <c r="P58" s="4"/>
      <c r="Q58" s="14">
        <v>0</v>
      </c>
      <c r="R58" s="14">
        <f>-292876.85+244568</f>
        <v>-48308.84999999998</v>
      </c>
      <c r="S58" s="14">
        <v>-95842.65</v>
      </c>
      <c r="T58" s="4"/>
      <c r="U58" s="4"/>
      <c r="V58" s="4"/>
      <c r="W58" s="4"/>
      <c r="X58" s="4"/>
      <c r="Y58" s="4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>
      <c r="A59" s="38">
        <f t="shared" si="0"/>
        <v>43</v>
      </c>
      <c r="B59" s="11" t="s">
        <v>215</v>
      </c>
      <c r="C59" s="4">
        <f t="shared" si="5"/>
        <v>-195999.35</v>
      </c>
      <c r="D59" s="4">
        <f t="shared" si="2"/>
        <v>-195999.35</v>
      </c>
      <c r="E59" s="4"/>
      <c r="F59" s="4"/>
      <c r="G59" s="4">
        <f t="shared" si="4"/>
        <v>-195999</v>
      </c>
      <c r="H59" s="4"/>
      <c r="I59" s="4">
        <f t="shared" si="6"/>
        <v>0</v>
      </c>
      <c r="J59" s="4">
        <f t="shared" si="6"/>
        <v>0</v>
      </c>
      <c r="K59" s="4">
        <f t="shared" si="6"/>
        <v>-195999.35</v>
      </c>
      <c r="L59" s="4"/>
      <c r="M59" s="14">
        <v>0</v>
      </c>
      <c r="N59" s="14">
        <v>0</v>
      </c>
      <c r="O59" s="14">
        <v>-195999.35</v>
      </c>
      <c r="P59" s="4"/>
      <c r="Q59" s="14">
        <v>0</v>
      </c>
      <c r="R59" s="14">
        <f>-278792+278792</f>
        <v>0</v>
      </c>
      <c r="S59" s="14">
        <v>-195999.35</v>
      </c>
      <c r="T59" s="4"/>
      <c r="U59" s="4"/>
      <c r="V59" s="4"/>
      <c r="W59" s="4"/>
      <c r="X59" s="4"/>
      <c r="Y59" s="4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38">
        <f t="shared" si="0"/>
        <v>44</v>
      </c>
      <c r="B60" s="4" t="s">
        <v>216</v>
      </c>
      <c r="C60" s="4">
        <f t="shared" si="5"/>
        <v>-1127246</v>
      </c>
      <c r="D60" s="4">
        <f t="shared" si="2"/>
        <v>-1127246</v>
      </c>
      <c r="E60" s="4"/>
      <c r="F60" s="4"/>
      <c r="G60" s="4">
        <f t="shared" si="4"/>
        <v>-1127246</v>
      </c>
      <c r="H60" s="4"/>
      <c r="I60" s="4">
        <f t="shared" si="6"/>
        <v>0</v>
      </c>
      <c r="J60" s="4">
        <f t="shared" si="6"/>
        <v>0</v>
      </c>
      <c r="K60" s="4">
        <f t="shared" si="6"/>
        <v>-1127246</v>
      </c>
      <c r="L60" s="4"/>
      <c r="M60" s="14">
        <v>0</v>
      </c>
      <c r="N60" s="14">
        <v>0</v>
      </c>
      <c r="O60" s="14">
        <v>-1127246</v>
      </c>
      <c r="P60" s="4"/>
      <c r="Q60" s="14">
        <v>0</v>
      </c>
      <c r="R60" s="14">
        <v>0</v>
      </c>
      <c r="S60" s="14">
        <v>-1127246</v>
      </c>
      <c r="T60" s="4"/>
      <c r="U60" s="4"/>
      <c r="V60" s="4"/>
      <c r="W60" s="4"/>
      <c r="X60" s="4"/>
      <c r="Y60" s="4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>
      <c r="A61" s="38">
        <f t="shared" si="0"/>
        <v>45</v>
      </c>
      <c r="B61" s="4" t="s">
        <v>218</v>
      </c>
      <c r="C61" s="4">
        <f t="shared" si="5"/>
        <v>0</v>
      </c>
      <c r="D61" s="4">
        <f t="shared" si="2"/>
        <v>0</v>
      </c>
      <c r="E61" s="4"/>
      <c r="F61" s="4"/>
      <c r="G61" s="4">
        <f t="shared" si="4"/>
        <v>0</v>
      </c>
      <c r="H61" s="4"/>
      <c r="I61" s="4">
        <f t="shared" si="6"/>
        <v>0</v>
      </c>
      <c r="J61" s="4">
        <f t="shared" si="6"/>
        <v>0</v>
      </c>
      <c r="K61" s="4">
        <f t="shared" si="6"/>
        <v>0</v>
      </c>
      <c r="L61" s="4"/>
      <c r="M61" s="14">
        <v>0</v>
      </c>
      <c r="N61" s="14">
        <v>0</v>
      </c>
      <c r="O61" s="14">
        <v>0</v>
      </c>
      <c r="P61" s="4"/>
      <c r="Q61" s="14">
        <v>0</v>
      </c>
      <c r="R61" s="14">
        <v>0</v>
      </c>
      <c r="S61" s="14">
        <v>0</v>
      </c>
      <c r="T61" s="4"/>
      <c r="U61" s="4"/>
      <c r="V61" s="4"/>
      <c r="W61" s="4"/>
      <c r="X61" s="4"/>
      <c r="Y61" s="4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38">
        <f t="shared" si="0"/>
        <v>46</v>
      </c>
      <c r="B62" s="11" t="s">
        <v>600</v>
      </c>
      <c r="C62" s="4">
        <f t="shared" si="5"/>
        <v>0</v>
      </c>
      <c r="D62" s="4">
        <f t="shared" si="2"/>
        <v>0</v>
      </c>
      <c r="E62" s="4"/>
      <c r="F62" s="4"/>
      <c r="G62" s="4">
        <f>ROUND(SUM(C62:F62)/2,0)</f>
        <v>0</v>
      </c>
      <c r="H62" s="4"/>
      <c r="I62" s="4">
        <f t="shared" si="6"/>
        <v>0</v>
      </c>
      <c r="J62" s="4">
        <f t="shared" si="6"/>
        <v>0</v>
      </c>
      <c r="K62" s="4">
        <f t="shared" si="6"/>
        <v>0</v>
      </c>
      <c r="L62" s="4"/>
      <c r="M62" s="14">
        <v>0</v>
      </c>
      <c r="N62" s="14">
        <v>0</v>
      </c>
      <c r="O62" s="14">
        <v>0</v>
      </c>
      <c r="P62" s="4"/>
      <c r="Q62" s="14">
        <v>0</v>
      </c>
      <c r="R62" s="14">
        <v>0</v>
      </c>
      <c r="S62" s="14">
        <v>0</v>
      </c>
      <c r="T62" s="4"/>
      <c r="U62" s="4"/>
      <c r="V62" s="4"/>
      <c r="W62" s="4"/>
      <c r="X62" s="4"/>
      <c r="Y62" s="4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38">
        <f t="shared" si="0"/>
        <v>47</v>
      </c>
      <c r="B63" s="11" t="s">
        <v>217</v>
      </c>
      <c r="C63" s="4">
        <f t="shared" si="5"/>
        <v>0</v>
      </c>
      <c r="D63" s="4">
        <f t="shared" si="2"/>
        <v>0</v>
      </c>
      <c r="E63" s="4"/>
      <c r="F63" s="4"/>
      <c r="G63" s="4">
        <f t="shared" si="4"/>
        <v>0</v>
      </c>
      <c r="H63" s="4"/>
      <c r="I63" s="4">
        <f t="shared" si="6"/>
        <v>0</v>
      </c>
      <c r="J63" s="4">
        <f t="shared" si="6"/>
        <v>0</v>
      </c>
      <c r="K63" s="4">
        <f t="shared" si="6"/>
        <v>0</v>
      </c>
      <c r="L63" s="4"/>
      <c r="M63" s="14">
        <v>0</v>
      </c>
      <c r="N63" s="14">
        <v>0</v>
      </c>
      <c r="O63" s="14">
        <v>0</v>
      </c>
      <c r="P63" s="4"/>
      <c r="Q63" s="14">
        <v>0</v>
      </c>
      <c r="R63" s="14">
        <v>0</v>
      </c>
      <c r="S63" s="14">
        <v>0</v>
      </c>
      <c r="T63" s="4"/>
      <c r="U63" s="4"/>
      <c r="V63" s="4"/>
      <c r="W63" s="4"/>
      <c r="X63" s="4"/>
      <c r="Y63" s="4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38">
        <f t="shared" si="0"/>
        <v>48</v>
      </c>
      <c r="B64" s="11" t="s">
        <v>601</v>
      </c>
      <c r="C64" s="4">
        <f t="shared" si="5"/>
        <v>0</v>
      </c>
      <c r="D64" s="4">
        <f t="shared" si="2"/>
        <v>0</v>
      </c>
      <c r="E64" s="4"/>
      <c r="F64" s="4"/>
      <c r="G64" s="4">
        <f t="shared" si="4"/>
        <v>0</v>
      </c>
      <c r="H64" s="4"/>
      <c r="I64" s="4">
        <f t="shared" si="6"/>
        <v>0</v>
      </c>
      <c r="J64" s="4">
        <f t="shared" si="6"/>
        <v>0</v>
      </c>
      <c r="K64" s="4">
        <f t="shared" si="6"/>
        <v>0</v>
      </c>
      <c r="L64" s="4"/>
      <c r="M64" s="14">
        <v>0</v>
      </c>
      <c r="N64" s="14">
        <v>0</v>
      </c>
      <c r="O64" s="14">
        <v>0</v>
      </c>
      <c r="P64" s="4"/>
      <c r="Q64" s="14">
        <v>0</v>
      </c>
      <c r="R64" s="14">
        <v>0</v>
      </c>
      <c r="S64" s="14">
        <v>0</v>
      </c>
      <c r="T64" s="4"/>
      <c r="U64" s="4"/>
      <c r="V64" s="4"/>
      <c r="W64" s="4"/>
      <c r="X64" s="4"/>
      <c r="Y64" s="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38">
        <f t="shared" si="0"/>
        <v>49</v>
      </c>
      <c r="B65" s="11" t="s">
        <v>602</v>
      </c>
      <c r="C65" s="4">
        <f t="shared" si="5"/>
        <v>-11699.65</v>
      </c>
      <c r="D65" s="4">
        <f t="shared" si="2"/>
        <v>-11672.58</v>
      </c>
      <c r="E65" s="4"/>
      <c r="F65" s="4"/>
      <c r="G65" s="4">
        <f>ROUND(SUM(C65:F65)/2,0)</f>
        <v>-11686</v>
      </c>
      <c r="H65" s="4"/>
      <c r="I65" s="4">
        <f t="shared" si="6"/>
        <v>0</v>
      </c>
      <c r="J65" s="4">
        <f t="shared" si="6"/>
        <v>-11686.115</v>
      </c>
      <c r="K65" s="4">
        <f t="shared" si="6"/>
        <v>0</v>
      </c>
      <c r="L65" s="4"/>
      <c r="M65" s="14">
        <v>0</v>
      </c>
      <c r="N65" s="14">
        <v>-11699.65</v>
      </c>
      <c r="O65" s="14">
        <v>0</v>
      </c>
      <c r="P65" s="4"/>
      <c r="Q65" s="14">
        <v>0</v>
      </c>
      <c r="R65" s="14">
        <v>-11672.58</v>
      </c>
      <c r="S65" s="14">
        <v>0</v>
      </c>
      <c r="T65" s="4"/>
      <c r="U65" s="4"/>
      <c r="V65" s="4"/>
      <c r="W65" s="4"/>
      <c r="X65" s="4"/>
      <c r="Y65" s="4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38">
        <f t="shared" si="0"/>
        <v>50</v>
      </c>
      <c r="B66" s="13" t="s">
        <v>221</v>
      </c>
      <c r="C66" s="4">
        <f t="shared" si="5"/>
        <v>0</v>
      </c>
      <c r="D66" s="4">
        <f t="shared" si="2"/>
        <v>0</v>
      </c>
      <c r="E66" s="4"/>
      <c r="F66" s="4"/>
      <c r="G66" s="4">
        <f t="shared" si="4"/>
        <v>0</v>
      </c>
      <c r="H66" s="4"/>
      <c r="I66" s="4">
        <f t="shared" si="6"/>
        <v>0</v>
      </c>
      <c r="J66" s="4">
        <f t="shared" si="6"/>
        <v>0</v>
      </c>
      <c r="K66" s="4">
        <f t="shared" si="6"/>
        <v>0</v>
      </c>
      <c r="L66" s="4"/>
      <c r="M66" s="14">
        <v>0</v>
      </c>
      <c r="N66" s="14">
        <v>0</v>
      </c>
      <c r="O66" s="14">
        <v>0</v>
      </c>
      <c r="P66" s="4"/>
      <c r="Q66" s="14">
        <v>0</v>
      </c>
      <c r="R66" s="14">
        <v>0</v>
      </c>
      <c r="S66" s="14">
        <v>0</v>
      </c>
      <c r="T66" s="4"/>
      <c r="U66" s="4"/>
      <c r="V66" s="4"/>
      <c r="W66" s="4"/>
      <c r="X66" s="4"/>
      <c r="Y66" s="4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38">
        <f t="shared" si="0"/>
        <v>51</v>
      </c>
      <c r="B67" s="11" t="s">
        <v>603</v>
      </c>
      <c r="C67" s="4">
        <f t="shared" si="5"/>
        <v>0</v>
      </c>
      <c r="D67" s="4">
        <f t="shared" si="2"/>
        <v>0</v>
      </c>
      <c r="E67" s="4"/>
      <c r="F67" s="4"/>
      <c r="G67" s="4">
        <f t="shared" si="4"/>
        <v>0</v>
      </c>
      <c r="H67" s="4"/>
      <c r="I67" s="4">
        <f t="shared" si="6"/>
        <v>0</v>
      </c>
      <c r="J67" s="4">
        <f t="shared" si="6"/>
        <v>0</v>
      </c>
      <c r="K67" s="4">
        <f t="shared" si="6"/>
        <v>0</v>
      </c>
      <c r="L67" s="4"/>
      <c r="M67" s="14">
        <v>0</v>
      </c>
      <c r="N67" s="14">
        <v>0</v>
      </c>
      <c r="O67" s="14">
        <v>0</v>
      </c>
      <c r="P67" s="4"/>
      <c r="Q67" s="14">
        <v>0</v>
      </c>
      <c r="R67" s="14">
        <v>0</v>
      </c>
      <c r="S67" s="14">
        <v>0</v>
      </c>
      <c r="T67" s="4"/>
      <c r="U67" s="4"/>
      <c r="V67" s="4"/>
      <c r="W67" s="4"/>
      <c r="X67" s="4"/>
      <c r="Y67" s="4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38">
        <f t="shared" si="0"/>
        <v>52</v>
      </c>
      <c r="B68" s="11" t="s">
        <v>604</v>
      </c>
      <c r="C68" s="4">
        <f t="shared" si="5"/>
        <v>0</v>
      </c>
      <c r="D68" s="4">
        <f t="shared" si="2"/>
        <v>0</v>
      </c>
      <c r="E68" s="4"/>
      <c r="F68" s="4"/>
      <c r="G68" s="4">
        <f>ROUND(SUM(C68:F68)/2,0)</f>
        <v>0</v>
      </c>
      <c r="H68" s="4"/>
      <c r="I68" s="4">
        <f t="shared" si="6"/>
        <v>0</v>
      </c>
      <c r="J68" s="4">
        <f t="shared" si="6"/>
        <v>0</v>
      </c>
      <c r="K68" s="4">
        <f t="shared" si="6"/>
        <v>0</v>
      </c>
      <c r="L68" s="4"/>
      <c r="M68" s="14">
        <v>0</v>
      </c>
      <c r="N68" s="14">
        <v>0</v>
      </c>
      <c r="O68" s="14">
        <v>0</v>
      </c>
      <c r="P68" s="4"/>
      <c r="Q68" s="14">
        <v>0</v>
      </c>
      <c r="R68" s="14">
        <v>0</v>
      </c>
      <c r="S68" s="14">
        <v>0</v>
      </c>
      <c r="T68" s="4"/>
      <c r="U68" s="4"/>
      <c r="V68" s="4"/>
      <c r="W68" s="4"/>
      <c r="X68" s="4"/>
      <c r="Y68" s="4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38">
        <f t="shared" si="0"/>
        <v>53</v>
      </c>
      <c r="B69" s="11" t="s">
        <v>80</v>
      </c>
      <c r="C69" s="4">
        <f t="shared" si="5"/>
        <v>-25063.36</v>
      </c>
      <c r="D69" s="4">
        <f t="shared" si="2"/>
        <v>-5325274.7</v>
      </c>
      <c r="E69" s="4"/>
      <c r="F69" s="4"/>
      <c r="G69" s="4">
        <f>ROUND(SUM(C69:F69)/2,0)</f>
        <v>-2675169</v>
      </c>
      <c r="H69" s="4"/>
      <c r="I69" s="4">
        <f t="shared" si="6"/>
        <v>0</v>
      </c>
      <c r="J69" s="4">
        <f t="shared" si="6"/>
        <v>0</v>
      </c>
      <c r="K69" s="4">
        <f t="shared" si="6"/>
        <v>-2675169.0300000003</v>
      </c>
      <c r="L69" s="4"/>
      <c r="M69" s="14">
        <v>0</v>
      </c>
      <c r="N69" s="14">
        <v>0</v>
      </c>
      <c r="O69" s="14">
        <v>-25063.36</v>
      </c>
      <c r="P69" s="4"/>
      <c r="Q69" s="14">
        <v>0</v>
      </c>
      <c r="R69" s="14">
        <v>0</v>
      </c>
      <c r="S69" s="14">
        <v>-5325274.7</v>
      </c>
      <c r="T69" s="4"/>
      <c r="U69" s="4"/>
      <c r="V69" s="4"/>
      <c r="W69" s="4"/>
      <c r="X69" s="4"/>
      <c r="Y69" s="4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38">
        <f t="shared" si="0"/>
        <v>54</v>
      </c>
      <c r="B70" s="11" t="s">
        <v>605</v>
      </c>
      <c r="C70" s="4">
        <f t="shared" si="5"/>
        <v>8017295.09</v>
      </c>
      <c r="D70" s="4">
        <f t="shared" si="2"/>
        <v>6973375.51</v>
      </c>
      <c r="E70" s="4"/>
      <c r="F70" s="4"/>
      <c r="G70" s="4">
        <f t="shared" si="4"/>
        <v>7495335</v>
      </c>
      <c r="H70" s="4"/>
      <c r="I70" s="4">
        <f t="shared" si="6"/>
        <v>0</v>
      </c>
      <c r="J70" s="4">
        <f t="shared" si="6"/>
        <v>0</v>
      </c>
      <c r="K70" s="4">
        <f t="shared" si="6"/>
        <v>7495335.3</v>
      </c>
      <c r="L70" s="4"/>
      <c r="M70" s="14">
        <v>0</v>
      </c>
      <c r="N70" s="14">
        <v>0</v>
      </c>
      <c r="O70" s="14">
        <v>8017295.09</v>
      </c>
      <c r="P70" s="4"/>
      <c r="Q70" s="14">
        <v>0</v>
      </c>
      <c r="R70" s="14">
        <v>0</v>
      </c>
      <c r="S70" s="14">
        <f>9438795.51-2465420</f>
        <v>6973375.51</v>
      </c>
      <c r="T70" s="4"/>
      <c r="U70" s="4"/>
      <c r="V70" s="4"/>
      <c r="W70" s="4"/>
      <c r="X70" s="4"/>
      <c r="Y70" s="4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38">
        <f t="shared" si="0"/>
        <v>55</v>
      </c>
      <c r="B71" s="11" t="s">
        <v>606</v>
      </c>
      <c r="C71" s="4">
        <f t="shared" si="5"/>
        <v>0</v>
      </c>
      <c r="D71" s="4">
        <f t="shared" si="2"/>
        <v>0</v>
      </c>
      <c r="E71" s="4"/>
      <c r="F71" s="4"/>
      <c r="G71" s="4">
        <f t="shared" si="4"/>
        <v>0</v>
      </c>
      <c r="H71" s="4"/>
      <c r="I71" s="4">
        <f t="shared" si="6"/>
        <v>0</v>
      </c>
      <c r="J71" s="4">
        <f t="shared" si="6"/>
        <v>0</v>
      </c>
      <c r="K71" s="4">
        <f t="shared" si="6"/>
        <v>0</v>
      </c>
      <c r="L71" s="4"/>
      <c r="M71" s="14">
        <v>0</v>
      </c>
      <c r="N71" s="14">
        <v>0</v>
      </c>
      <c r="O71" s="14">
        <v>0</v>
      </c>
      <c r="P71" s="4"/>
      <c r="Q71" s="14">
        <v>0</v>
      </c>
      <c r="R71" s="14">
        <v>0</v>
      </c>
      <c r="S71" s="14">
        <v>0</v>
      </c>
      <c r="T71" s="4"/>
      <c r="U71" s="4"/>
      <c r="V71" s="4"/>
      <c r="W71" s="4"/>
      <c r="X71" s="4"/>
      <c r="Y71" s="4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38">
        <f t="shared" si="0"/>
        <v>56</v>
      </c>
      <c r="B72" s="11" t="s">
        <v>225</v>
      </c>
      <c r="C72" s="4">
        <f t="shared" si="5"/>
        <v>300407.94</v>
      </c>
      <c r="D72" s="4">
        <f t="shared" si="2"/>
        <v>342357.96</v>
      </c>
      <c r="E72" s="4"/>
      <c r="F72" s="4"/>
      <c r="G72" s="4">
        <f>ROUND(SUM(C72:F72)/2,0)</f>
        <v>321383</v>
      </c>
      <c r="H72" s="4"/>
      <c r="I72" s="4">
        <f t="shared" si="6"/>
        <v>0</v>
      </c>
      <c r="J72" s="4">
        <f t="shared" si="6"/>
        <v>321382.95</v>
      </c>
      <c r="K72" s="4">
        <f t="shared" si="6"/>
        <v>0</v>
      </c>
      <c r="L72" s="4"/>
      <c r="M72" s="14">
        <v>0</v>
      </c>
      <c r="N72" s="14">
        <v>300407.94</v>
      </c>
      <c r="O72" s="14">
        <v>0</v>
      </c>
      <c r="P72" s="4"/>
      <c r="Q72" s="14">
        <v>0</v>
      </c>
      <c r="R72" s="14">
        <v>342357.96</v>
      </c>
      <c r="S72" s="14">
        <v>0</v>
      </c>
      <c r="T72" s="4"/>
      <c r="U72" s="4"/>
      <c r="V72" s="4"/>
      <c r="W72" s="4"/>
      <c r="X72" s="4"/>
      <c r="Y72" s="4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38">
        <f t="shared" si="0"/>
        <v>57</v>
      </c>
      <c r="B73" s="4" t="s">
        <v>607</v>
      </c>
      <c r="C73" s="4">
        <f t="shared" si="5"/>
        <v>0</v>
      </c>
      <c r="D73" s="4">
        <f t="shared" si="2"/>
        <v>0</v>
      </c>
      <c r="E73" s="4"/>
      <c r="F73" s="4"/>
      <c r="G73" s="4">
        <f aca="true" t="shared" si="7" ref="G73:G106">ROUND(SUM(C73:F73)/2,0)</f>
        <v>0</v>
      </c>
      <c r="H73" s="4"/>
      <c r="I73" s="4">
        <f t="shared" si="6"/>
        <v>0</v>
      </c>
      <c r="J73" s="4">
        <f t="shared" si="6"/>
        <v>0</v>
      </c>
      <c r="K73" s="4">
        <f t="shared" si="6"/>
        <v>0</v>
      </c>
      <c r="L73" s="4"/>
      <c r="M73" s="14">
        <v>0</v>
      </c>
      <c r="N73" s="14">
        <v>0</v>
      </c>
      <c r="O73" s="14">
        <v>0</v>
      </c>
      <c r="P73" s="4"/>
      <c r="Q73" s="14">
        <v>0</v>
      </c>
      <c r="R73" s="14">
        <v>0</v>
      </c>
      <c r="S73" s="14">
        <v>0</v>
      </c>
      <c r="T73" s="4"/>
      <c r="U73" s="4"/>
      <c r="V73" s="4"/>
      <c r="W73" s="4"/>
      <c r="X73" s="4"/>
      <c r="Y73" s="4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38">
        <f t="shared" si="0"/>
        <v>58</v>
      </c>
      <c r="B74" s="11" t="s">
        <v>608</v>
      </c>
      <c r="C74" s="4">
        <f t="shared" si="5"/>
        <v>0</v>
      </c>
      <c r="D74" s="4">
        <f t="shared" si="2"/>
        <v>0</v>
      </c>
      <c r="E74" s="4"/>
      <c r="F74" s="4"/>
      <c r="G74" s="4">
        <f t="shared" si="7"/>
        <v>0</v>
      </c>
      <c r="H74" s="4"/>
      <c r="I74" s="4">
        <f t="shared" si="6"/>
        <v>0</v>
      </c>
      <c r="J74" s="4">
        <f t="shared" si="6"/>
        <v>0</v>
      </c>
      <c r="K74" s="4">
        <f t="shared" si="6"/>
        <v>0</v>
      </c>
      <c r="L74" s="4"/>
      <c r="M74" s="14">
        <v>0</v>
      </c>
      <c r="N74" s="14">
        <v>0</v>
      </c>
      <c r="O74" s="14">
        <v>0</v>
      </c>
      <c r="P74" s="4"/>
      <c r="Q74" s="14">
        <v>0</v>
      </c>
      <c r="R74" s="14">
        <v>0</v>
      </c>
      <c r="S74" s="14">
        <v>0</v>
      </c>
      <c r="T74" s="4"/>
      <c r="U74" s="4"/>
      <c r="V74" s="4"/>
      <c r="W74" s="4"/>
      <c r="X74" s="4"/>
      <c r="Y74" s="4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38">
        <f t="shared" si="0"/>
        <v>59</v>
      </c>
      <c r="B75" s="11" t="s">
        <v>236</v>
      </c>
      <c r="C75" s="4">
        <f t="shared" si="5"/>
        <v>0.01</v>
      </c>
      <c r="D75" s="4">
        <f t="shared" si="2"/>
        <v>2534815.14</v>
      </c>
      <c r="E75" s="4"/>
      <c r="F75" s="4"/>
      <c r="G75" s="4">
        <f t="shared" si="7"/>
        <v>1267408</v>
      </c>
      <c r="H75" s="4"/>
      <c r="I75" s="4">
        <f t="shared" si="6"/>
        <v>0</v>
      </c>
      <c r="J75" s="4">
        <f t="shared" si="6"/>
        <v>1267407.575</v>
      </c>
      <c r="K75" s="4">
        <f t="shared" si="6"/>
        <v>0</v>
      </c>
      <c r="L75" s="4"/>
      <c r="M75" s="14">
        <v>0</v>
      </c>
      <c r="N75" s="14">
        <v>0.01</v>
      </c>
      <c r="O75" s="14">
        <v>0</v>
      </c>
      <c r="P75" s="4"/>
      <c r="Q75" s="14">
        <v>0</v>
      </c>
      <c r="R75" s="14">
        <v>2534815.14</v>
      </c>
      <c r="S75" s="14">
        <v>0</v>
      </c>
      <c r="T75" s="4"/>
      <c r="U75" s="4"/>
      <c r="V75" s="4"/>
      <c r="W75" s="4"/>
      <c r="X75" s="4"/>
      <c r="Y75" s="4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38">
        <f t="shared" si="0"/>
        <v>60</v>
      </c>
      <c r="B76" s="11" t="s">
        <v>609</v>
      </c>
      <c r="C76" s="4">
        <f t="shared" si="5"/>
        <v>0</v>
      </c>
      <c r="D76" s="4">
        <f t="shared" si="2"/>
        <v>0</v>
      </c>
      <c r="E76" s="4"/>
      <c r="F76" s="4"/>
      <c r="G76" s="4">
        <f t="shared" si="7"/>
        <v>0</v>
      </c>
      <c r="H76" s="4"/>
      <c r="I76" s="4">
        <f t="shared" si="6"/>
        <v>0</v>
      </c>
      <c r="J76" s="4">
        <f t="shared" si="6"/>
        <v>0</v>
      </c>
      <c r="K76" s="4">
        <f t="shared" si="6"/>
        <v>0</v>
      </c>
      <c r="L76" s="4"/>
      <c r="M76" s="14">
        <v>0</v>
      </c>
      <c r="N76" s="14">
        <v>0</v>
      </c>
      <c r="O76" s="14">
        <v>0</v>
      </c>
      <c r="P76" s="4"/>
      <c r="Q76" s="14">
        <v>0</v>
      </c>
      <c r="R76" s="14">
        <v>0</v>
      </c>
      <c r="S76" s="14">
        <v>0</v>
      </c>
      <c r="T76" s="4"/>
      <c r="U76" s="4"/>
      <c r="V76" s="4"/>
      <c r="W76" s="4"/>
      <c r="X76" s="4"/>
      <c r="Y76" s="4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38">
        <f t="shared" si="0"/>
        <v>61</v>
      </c>
      <c r="B77" s="11" t="s">
        <v>233</v>
      </c>
      <c r="C77" s="4">
        <f t="shared" si="5"/>
        <v>0</v>
      </c>
      <c r="D77" s="4">
        <f t="shared" si="2"/>
        <v>0</v>
      </c>
      <c r="E77" s="4"/>
      <c r="F77" s="4"/>
      <c r="G77" s="4">
        <f t="shared" si="7"/>
        <v>0</v>
      </c>
      <c r="H77" s="4"/>
      <c r="I77" s="4">
        <f t="shared" si="6"/>
        <v>0</v>
      </c>
      <c r="J77" s="4">
        <f t="shared" si="6"/>
        <v>0</v>
      </c>
      <c r="K77" s="4">
        <f t="shared" si="6"/>
        <v>0</v>
      </c>
      <c r="L77" s="4"/>
      <c r="M77" s="14">
        <v>0</v>
      </c>
      <c r="N77" s="14">
        <v>0</v>
      </c>
      <c r="O77" s="14">
        <v>0</v>
      </c>
      <c r="P77" s="4"/>
      <c r="Q77" s="14">
        <v>0</v>
      </c>
      <c r="R77" s="14">
        <v>0</v>
      </c>
      <c r="S77" s="14">
        <v>0</v>
      </c>
      <c r="T77" s="4"/>
      <c r="U77" s="4"/>
      <c r="V77" s="4"/>
      <c r="W77" s="4"/>
      <c r="X77" s="4"/>
      <c r="Y77" s="4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38">
        <f t="shared" si="0"/>
        <v>62</v>
      </c>
      <c r="B78" s="4" t="s">
        <v>234</v>
      </c>
      <c r="C78" s="4">
        <f t="shared" si="5"/>
        <v>395960.28</v>
      </c>
      <c r="D78" s="4">
        <f t="shared" si="2"/>
        <v>416367.25</v>
      </c>
      <c r="E78" s="4"/>
      <c r="F78" s="4"/>
      <c r="G78" s="4">
        <f t="shared" si="7"/>
        <v>406164</v>
      </c>
      <c r="H78" s="4"/>
      <c r="I78" s="4">
        <f t="shared" si="6"/>
        <v>0</v>
      </c>
      <c r="J78" s="4">
        <f t="shared" si="6"/>
        <v>0</v>
      </c>
      <c r="K78" s="4">
        <f t="shared" si="6"/>
        <v>406163.765</v>
      </c>
      <c r="L78" s="4"/>
      <c r="M78" s="14">
        <v>0</v>
      </c>
      <c r="N78" s="14">
        <v>0</v>
      </c>
      <c r="O78" s="14">
        <v>395960.28</v>
      </c>
      <c r="P78" s="4"/>
      <c r="Q78" s="14">
        <v>0</v>
      </c>
      <c r="R78" s="14">
        <v>0</v>
      </c>
      <c r="S78" s="14">
        <v>416367.25</v>
      </c>
      <c r="T78" s="4"/>
      <c r="U78" s="4"/>
      <c r="V78" s="4"/>
      <c r="W78" s="4"/>
      <c r="X78" s="4"/>
      <c r="Y78" s="4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38">
        <f t="shared" si="0"/>
        <v>63</v>
      </c>
      <c r="B79" s="4" t="s">
        <v>237</v>
      </c>
      <c r="C79" s="4">
        <f t="shared" si="5"/>
        <v>26617833.43</v>
      </c>
      <c r="D79" s="4">
        <f t="shared" si="2"/>
        <v>34065827.83</v>
      </c>
      <c r="E79" s="4"/>
      <c r="F79" s="4"/>
      <c r="G79" s="4">
        <f>ROUND(SUM(C79:F79)/2,0)</f>
        <v>30341831</v>
      </c>
      <c r="H79" s="4"/>
      <c r="I79" s="4">
        <f t="shared" si="6"/>
        <v>0</v>
      </c>
      <c r="J79" s="4">
        <f t="shared" si="6"/>
        <v>0</v>
      </c>
      <c r="K79" s="4">
        <f t="shared" si="6"/>
        <v>30341830.63</v>
      </c>
      <c r="L79" s="4"/>
      <c r="M79" s="14">
        <v>0</v>
      </c>
      <c r="N79" s="14">
        <v>0</v>
      </c>
      <c r="O79" s="14">
        <v>26617833.43</v>
      </c>
      <c r="P79" s="4"/>
      <c r="Q79" s="14">
        <v>0</v>
      </c>
      <c r="R79" s="14">
        <v>0</v>
      </c>
      <c r="S79" s="14">
        <v>34065827.83</v>
      </c>
      <c r="T79" s="4"/>
      <c r="U79" s="4"/>
      <c r="V79" s="4"/>
      <c r="W79" s="4"/>
      <c r="X79" s="4"/>
      <c r="Y79" s="4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38">
        <f aca="true" t="shared" si="8" ref="A80:A123">+A79+1</f>
        <v>64</v>
      </c>
      <c r="B80" s="4" t="s">
        <v>610</v>
      </c>
      <c r="C80" s="4">
        <f t="shared" si="5"/>
        <v>0</v>
      </c>
      <c r="D80" s="4">
        <f t="shared" si="2"/>
        <v>0</v>
      </c>
      <c r="E80" s="4"/>
      <c r="F80" s="4"/>
      <c r="G80" s="4">
        <f t="shared" si="7"/>
        <v>0</v>
      </c>
      <c r="H80" s="4"/>
      <c r="I80" s="4">
        <f t="shared" si="6"/>
        <v>0</v>
      </c>
      <c r="J80" s="4">
        <f t="shared" si="6"/>
        <v>0</v>
      </c>
      <c r="K80" s="4">
        <f t="shared" si="6"/>
        <v>0</v>
      </c>
      <c r="L80" s="4"/>
      <c r="M80" s="14">
        <v>0</v>
      </c>
      <c r="N80" s="14">
        <v>0</v>
      </c>
      <c r="O80" s="14">
        <v>0</v>
      </c>
      <c r="P80" s="4"/>
      <c r="Q80" s="14">
        <v>0</v>
      </c>
      <c r="R80" s="14">
        <v>0</v>
      </c>
      <c r="S80" s="14">
        <v>0</v>
      </c>
      <c r="T80" s="4"/>
      <c r="U80" s="4"/>
      <c r="V80" s="4"/>
      <c r="W80" s="4"/>
      <c r="X80" s="4"/>
      <c r="Y80" s="4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38">
        <f t="shared" si="8"/>
        <v>65</v>
      </c>
      <c r="B81" s="11" t="s">
        <v>611</v>
      </c>
      <c r="C81" s="4">
        <f aca="true" t="shared" si="9" ref="C81:C114">SUM(M81:O81)</f>
        <v>0</v>
      </c>
      <c r="D81" s="4">
        <f aca="true" t="shared" si="10" ref="D81:D114">SUM(Q81:S81)</f>
        <v>0</v>
      </c>
      <c r="E81" s="4"/>
      <c r="F81" s="4"/>
      <c r="G81" s="4">
        <f>ROUND(SUM(C81:F81)/2,0)</f>
        <v>0</v>
      </c>
      <c r="H81" s="4"/>
      <c r="I81" s="4">
        <f aca="true" t="shared" si="11" ref="I81:K114">(M81+Q81)/2</f>
        <v>0</v>
      </c>
      <c r="J81" s="4">
        <f t="shared" si="11"/>
        <v>0</v>
      </c>
      <c r="K81" s="4">
        <f t="shared" si="11"/>
        <v>0</v>
      </c>
      <c r="L81" s="4"/>
      <c r="M81" s="14">
        <v>0</v>
      </c>
      <c r="N81" s="14">
        <v>0</v>
      </c>
      <c r="O81" s="14">
        <v>0</v>
      </c>
      <c r="P81" s="4"/>
      <c r="Q81" s="14">
        <v>0</v>
      </c>
      <c r="R81" s="14">
        <v>0</v>
      </c>
      <c r="S81" s="14">
        <v>0</v>
      </c>
      <c r="T81" s="4"/>
      <c r="U81" s="4"/>
      <c r="V81" s="4"/>
      <c r="W81" s="4"/>
      <c r="X81" s="4"/>
      <c r="Y81" s="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38">
        <f t="shared" si="8"/>
        <v>66</v>
      </c>
      <c r="B82" s="11" t="s">
        <v>612</v>
      </c>
      <c r="C82" s="4">
        <f t="shared" si="9"/>
        <v>0</v>
      </c>
      <c r="D82" s="4">
        <f t="shared" si="10"/>
        <v>0</v>
      </c>
      <c r="E82" s="4"/>
      <c r="F82" s="4"/>
      <c r="G82" s="4">
        <f t="shared" si="7"/>
        <v>0</v>
      </c>
      <c r="H82" s="4"/>
      <c r="I82" s="4">
        <f t="shared" si="11"/>
        <v>0</v>
      </c>
      <c r="J82" s="4">
        <f t="shared" si="11"/>
        <v>0</v>
      </c>
      <c r="K82" s="4">
        <f t="shared" si="11"/>
        <v>0</v>
      </c>
      <c r="L82" s="4"/>
      <c r="M82" s="14">
        <v>0</v>
      </c>
      <c r="N82" s="14">
        <v>0</v>
      </c>
      <c r="O82" s="14">
        <v>0</v>
      </c>
      <c r="P82" s="4"/>
      <c r="Q82" s="14">
        <v>0</v>
      </c>
      <c r="R82" s="14">
        <v>0</v>
      </c>
      <c r="S82" s="14">
        <v>0</v>
      </c>
      <c r="T82" s="4"/>
      <c r="U82" s="4"/>
      <c r="V82" s="4"/>
      <c r="W82" s="4"/>
      <c r="X82" s="4"/>
      <c r="Y82" s="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38">
        <f t="shared" si="8"/>
        <v>67</v>
      </c>
      <c r="B83" s="11" t="s">
        <v>500</v>
      </c>
      <c r="C83" s="4">
        <f t="shared" si="9"/>
        <v>0</v>
      </c>
      <c r="D83" s="4">
        <f t="shared" si="10"/>
        <v>0</v>
      </c>
      <c r="E83" s="4"/>
      <c r="F83" s="4"/>
      <c r="G83" s="4">
        <f t="shared" si="7"/>
        <v>0</v>
      </c>
      <c r="H83" s="4"/>
      <c r="I83" s="4">
        <f t="shared" si="11"/>
        <v>0</v>
      </c>
      <c r="J83" s="4">
        <f t="shared" si="11"/>
        <v>0</v>
      </c>
      <c r="K83" s="4">
        <f t="shared" si="11"/>
        <v>0</v>
      </c>
      <c r="L83" s="4"/>
      <c r="M83" s="14">
        <v>0</v>
      </c>
      <c r="N83" s="14">
        <v>0</v>
      </c>
      <c r="O83" s="14">
        <v>0</v>
      </c>
      <c r="P83" s="4"/>
      <c r="Q83" s="14">
        <v>0</v>
      </c>
      <c r="R83" s="14">
        <v>0</v>
      </c>
      <c r="S83" s="14">
        <v>0</v>
      </c>
      <c r="T83" s="4"/>
      <c r="U83" s="4"/>
      <c r="V83" s="4"/>
      <c r="W83" s="4"/>
      <c r="X83" s="4"/>
      <c r="Y83" s="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38">
        <f t="shared" si="8"/>
        <v>68</v>
      </c>
      <c r="B84" s="11" t="s">
        <v>501</v>
      </c>
      <c r="C84" s="4">
        <f t="shared" si="9"/>
        <v>0</v>
      </c>
      <c r="D84" s="4">
        <f t="shared" si="10"/>
        <v>0</v>
      </c>
      <c r="E84" s="4"/>
      <c r="F84" s="4"/>
      <c r="G84" s="4">
        <f t="shared" si="7"/>
        <v>0</v>
      </c>
      <c r="H84" s="4"/>
      <c r="I84" s="4">
        <f t="shared" si="11"/>
        <v>0</v>
      </c>
      <c r="J84" s="4">
        <f t="shared" si="11"/>
        <v>0</v>
      </c>
      <c r="K84" s="4">
        <f t="shared" si="11"/>
        <v>0</v>
      </c>
      <c r="L84" s="4"/>
      <c r="M84" s="14">
        <v>0</v>
      </c>
      <c r="N84" s="14">
        <v>0</v>
      </c>
      <c r="O84" s="14">
        <v>0</v>
      </c>
      <c r="P84" s="4"/>
      <c r="Q84" s="14">
        <v>0</v>
      </c>
      <c r="R84" s="14">
        <v>0</v>
      </c>
      <c r="S84" s="14">
        <v>0</v>
      </c>
      <c r="T84" s="4"/>
      <c r="U84" s="4"/>
      <c r="V84" s="4"/>
      <c r="W84" s="4"/>
      <c r="X84" s="4"/>
      <c r="Y84" s="4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38">
        <f t="shared" si="8"/>
        <v>69</v>
      </c>
      <c r="B85" s="11" t="s">
        <v>613</v>
      </c>
      <c r="C85" s="4">
        <f t="shared" si="9"/>
        <v>0</v>
      </c>
      <c r="D85" s="4">
        <f t="shared" si="10"/>
        <v>0</v>
      </c>
      <c r="E85" s="4"/>
      <c r="F85" s="4"/>
      <c r="G85" s="4">
        <f t="shared" si="7"/>
        <v>0</v>
      </c>
      <c r="H85" s="4"/>
      <c r="I85" s="4">
        <f t="shared" si="11"/>
        <v>0</v>
      </c>
      <c r="J85" s="4">
        <f t="shared" si="11"/>
        <v>0</v>
      </c>
      <c r="K85" s="4">
        <f t="shared" si="11"/>
        <v>0</v>
      </c>
      <c r="L85" s="4"/>
      <c r="M85" s="14">
        <v>0</v>
      </c>
      <c r="N85" s="14">
        <v>0</v>
      </c>
      <c r="O85" s="14">
        <v>0</v>
      </c>
      <c r="P85" s="4"/>
      <c r="Q85" s="14">
        <v>0</v>
      </c>
      <c r="R85" s="14">
        <v>0</v>
      </c>
      <c r="S85" s="14">
        <v>0</v>
      </c>
      <c r="T85" s="4"/>
      <c r="U85" s="4"/>
      <c r="V85" s="4"/>
      <c r="W85" s="4"/>
      <c r="X85" s="4"/>
      <c r="Y85" s="4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38">
        <f t="shared" si="8"/>
        <v>70</v>
      </c>
      <c r="B86" s="11" t="s">
        <v>614</v>
      </c>
      <c r="C86" s="4">
        <f t="shared" si="9"/>
        <v>1620489.19</v>
      </c>
      <c r="D86" s="4">
        <f t="shared" si="10"/>
        <v>1950080.33</v>
      </c>
      <c r="E86" s="4"/>
      <c r="F86" s="4"/>
      <c r="G86" s="4">
        <f t="shared" si="7"/>
        <v>1785285</v>
      </c>
      <c r="H86" s="4"/>
      <c r="I86" s="4">
        <f t="shared" si="11"/>
        <v>0</v>
      </c>
      <c r="J86" s="4">
        <f t="shared" si="11"/>
        <v>0</v>
      </c>
      <c r="K86" s="4">
        <f t="shared" si="11"/>
        <v>1785284.76</v>
      </c>
      <c r="L86" s="4"/>
      <c r="M86" s="14">
        <v>0</v>
      </c>
      <c r="N86" s="14">
        <v>0</v>
      </c>
      <c r="O86" s="14">
        <v>1620489.19</v>
      </c>
      <c r="P86" s="4"/>
      <c r="Q86" s="14">
        <v>0</v>
      </c>
      <c r="R86" s="14">
        <v>0</v>
      </c>
      <c r="S86" s="14">
        <v>1950080.33</v>
      </c>
      <c r="T86" s="4"/>
      <c r="U86" s="4"/>
      <c r="V86" s="4"/>
      <c r="W86" s="4"/>
      <c r="X86" s="4"/>
      <c r="Y86" s="4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38">
        <f t="shared" si="8"/>
        <v>71</v>
      </c>
      <c r="B87" s="4" t="s">
        <v>238</v>
      </c>
      <c r="C87" s="4">
        <f t="shared" si="9"/>
        <v>78139.5</v>
      </c>
      <c r="D87" s="4">
        <f t="shared" si="10"/>
        <v>89354.54999999999</v>
      </c>
      <c r="E87" s="4"/>
      <c r="F87" s="4"/>
      <c r="G87" s="4">
        <f t="shared" si="7"/>
        <v>83747</v>
      </c>
      <c r="H87" s="4"/>
      <c r="I87" s="4">
        <f t="shared" si="11"/>
        <v>0</v>
      </c>
      <c r="J87" s="4">
        <f t="shared" si="11"/>
        <v>-1206.5149999999999</v>
      </c>
      <c r="K87" s="4">
        <f t="shared" si="11"/>
        <v>84953.54</v>
      </c>
      <c r="L87" s="4"/>
      <c r="M87" s="14">
        <v>0</v>
      </c>
      <c r="N87" s="14">
        <v>-1242.04</v>
      </c>
      <c r="O87" s="14">
        <v>79381.54</v>
      </c>
      <c r="P87" s="4"/>
      <c r="Q87" s="14">
        <v>0</v>
      </c>
      <c r="R87" s="14">
        <v>-1170.99</v>
      </c>
      <c r="S87" s="14">
        <v>90525.54</v>
      </c>
      <c r="T87" s="4"/>
      <c r="U87" s="4"/>
      <c r="V87" s="4"/>
      <c r="W87" s="4"/>
      <c r="X87" s="4"/>
      <c r="Y87" s="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38">
        <f t="shared" si="8"/>
        <v>72</v>
      </c>
      <c r="B88" s="4" t="s">
        <v>426</v>
      </c>
      <c r="C88" s="4">
        <f t="shared" si="9"/>
        <v>-94.5</v>
      </c>
      <c r="D88" s="4">
        <f t="shared" si="10"/>
        <v>-94.5</v>
      </c>
      <c r="E88" s="4"/>
      <c r="F88" s="4"/>
      <c r="G88" s="4">
        <f t="shared" si="7"/>
        <v>-95</v>
      </c>
      <c r="H88" s="4"/>
      <c r="I88" s="4">
        <f t="shared" si="11"/>
        <v>0</v>
      </c>
      <c r="J88" s="4">
        <f t="shared" si="11"/>
        <v>-94.5</v>
      </c>
      <c r="K88" s="4">
        <f t="shared" si="11"/>
        <v>0</v>
      </c>
      <c r="L88" s="4"/>
      <c r="M88" s="14">
        <v>0</v>
      </c>
      <c r="N88" s="14">
        <v>-94.5</v>
      </c>
      <c r="O88" s="14">
        <v>0</v>
      </c>
      <c r="P88" s="4"/>
      <c r="Q88" s="14">
        <v>0</v>
      </c>
      <c r="R88" s="14">
        <v>-94.5</v>
      </c>
      <c r="S88" s="14">
        <v>0</v>
      </c>
      <c r="T88" s="4"/>
      <c r="U88" s="4"/>
      <c r="V88" s="4"/>
      <c r="W88" s="4"/>
      <c r="X88" s="4"/>
      <c r="Y88" s="4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38">
        <f t="shared" si="8"/>
        <v>73</v>
      </c>
      <c r="B89" s="11" t="s">
        <v>615</v>
      </c>
      <c r="C89" s="4">
        <f t="shared" si="9"/>
        <v>0</v>
      </c>
      <c r="D89" s="4">
        <f t="shared" si="10"/>
        <v>0</v>
      </c>
      <c r="E89" s="4"/>
      <c r="F89" s="4"/>
      <c r="G89" s="4">
        <f t="shared" si="7"/>
        <v>0</v>
      </c>
      <c r="H89" s="4"/>
      <c r="I89" s="4">
        <f t="shared" si="11"/>
        <v>0</v>
      </c>
      <c r="J89" s="4">
        <f t="shared" si="11"/>
        <v>0</v>
      </c>
      <c r="K89" s="4">
        <f t="shared" si="11"/>
        <v>0</v>
      </c>
      <c r="L89" s="4"/>
      <c r="M89" s="14">
        <v>0</v>
      </c>
      <c r="N89" s="14">
        <v>0</v>
      </c>
      <c r="O89" s="14">
        <v>0</v>
      </c>
      <c r="P89" s="4"/>
      <c r="Q89" s="14">
        <v>0</v>
      </c>
      <c r="R89" s="14">
        <v>0</v>
      </c>
      <c r="S89" s="14">
        <v>0</v>
      </c>
      <c r="T89" s="4"/>
      <c r="U89" s="4"/>
      <c r="V89" s="4"/>
      <c r="W89" s="4"/>
      <c r="X89" s="4"/>
      <c r="Y89" s="4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38">
        <f t="shared" si="8"/>
        <v>74</v>
      </c>
      <c r="B90" s="4" t="s">
        <v>240</v>
      </c>
      <c r="C90" s="4">
        <f t="shared" si="9"/>
        <v>-7244889.34</v>
      </c>
      <c r="D90" s="4">
        <f t="shared" si="10"/>
        <v>-7882778.34</v>
      </c>
      <c r="E90" s="4"/>
      <c r="F90" s="4"/>
      <c r="G90" s="4">
        <f t="shared" si="7"/>
        <v>-7563834</v>
      </c>
      <c r="H90" s="4"/>
      <c r="I90" s="4">
        <f t="shared" si="11"/>
        <v>0</v>
      </c>
      <c r="J90" s="4">
        <f t="shared" si="11"/>
        <v>-1694774.175</v>
      </c>
      <c r="K90" s="4">
        <f t="shared" si="11"/>
        <v>-5869059.665</v>
      </c>
      <c r="L90" s="4"/>
      <c r="M90" s="14">
        <v>0</v>
      </c>
      <c r="N90" s="14">
        <v>-1965261.83</v>
      </c>
      <c r="O90" s="14">
        <v>-5279627.51</v>
      </c>
      <c r="P90" s="4"/>
      <c r="Q90" s="14">
        <v>0</v>
      </c>
      <c r="R90" s="14">
        <v>-1424286.52</v>
      </c>
      <c r="S90" s="14">
        <v>-6458491.82</v>
      </c>
      <c r="T90" s="4"/>
      <c r="U90" s="4"/>
      <c r="V90" s="4"/>
      <c r="W90" s="4"/>
      <c r="X90" s="4"/>
      <c r="Y90" s="4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38">
        <f t="shared" si="8"/>
        <v>75</v>
      </c>
      <c r="B91" s="11" t="s">
        <v>242</v>
      </c>
      <c r="C91" s="4">
        <f t="shared" si="9"/>
        <v>-988530.2</v>
      </c>
      <c r="D91" s="4">
        <f t="shared" si="10"/>
        <v>-11104273.71</v>
      </c>
      <c r="E91" s="4"/>
      <c r="F91" s="4"/>
      <c r="G91" s="4">
        <f t="shared" si="7"/>
        <v>-6046402</v>
      </c>
      <c r="H91" s="4"/>
      <c r="I91" s="4">
        <f t="shared" si="11"/>
        <v>0</v>
      </c>
      <c r="J91" s="4">
        <f t="shared" si="11"/>
        <v>-473434.2949999999</v>
      </c>
      <c r="K91" s="4">
        <f t="shared" si="11"/>
        <v>-5572967.66</v>
      </c>
      <c r="L91" s="4"/>
      <c r="M91" s="14">
        <v>0</v>
      </c>
      <c r="N91" s="14">
        <v>164097.06</v>
      </c>
      <c r="O91" s="14">
        <v>-1152627.26</v>
      </c>
      <c r="P91" s="4"/>
      <c r="Q91" s="14">
        <v>0</v>
      </c>
      <c r="R91" s="14">
        <v>-1110965.65</v>
      </c>
      <c r="S91" s="14">
        <v>-9993308.06</v>
      </c>
      <c r="T91" s="4"/>
      <c r="U91" s="4"/>
      <c r="V91" s="4"/>
      <c r="W91" s="4"/>
      <c r="X91" s="4"/>
      <c r="Y91" s="4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38">
        <f t="shared" si="8"/>
        <v>76</v>
      </c>
      <c r="B92" s="4" t="s">
        <v>243</v>
      </c>
      <c r="C92" s="4">
        <f t="shared" si="9"/>
        <v>2572021.2</v>
      </c>
      <c r="D92" s="4">
        <f t="shared" si="10"/>
        <v>2148715.42</v>
      </c>
      <c r="E92" s="4"/>
      <c r="F92" s="4"/>
      <c r="G92" s="4">
        <f t="shared" si="7"/>
        <v>2360368</v>
      </c>
      <c r="H92" s="4"/>
      <c r="I92" s="4">
        <f t="shared" si="11"/>
        <v>0</v>
      </c>
      <c r="J92" s="4">
        <f t="shared" si="11"/>
        <v>218664.725</v>
      </c>
      <c r="K92" s="4">
        <f t="shared" si="11"/>
        <v>2141703.585</v>
      </c>
      <c r="L92" s="4"/>
      <c r="M92" s="14">
        <v>0</v>
      </c>
      <c r="N92" s="14">
        <v>221664.45</v>
      </c>
      <c r="O92" s="14">
        <v>2350356.75</v>
      </c>
      <c r="P92" s="4"/>
      <c r="Q92" s="14">
        <v>0</v>
      </c>
      <c r="R92" s="14">
        <v>215665</v>
      </c>
      <c r="S92" s="14">
        <v>1933050.42</v>
      </c>
      <c r="T92" s="4"/>
      <c r="U92" s="4"/>
      <c r="V92" s="4"/>
      <c r="W92" s="4"/>
      <c r="X92" s="4"/>
      <c r="Y92" s="4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38">
        <f t="shared" si="8"/>
        <v>77</v>
      </c>
      <c r="B93" s="11" t="s">
        <v>244</v>
      </c>
      <c r="C93" s="4">
        <f t="shared" si="9"/>
        <v>497910.35000000003</v>
      </c>
      <c r="D93" s="4">
        <f t="shared" si="10"/>
        <v>476351.77</v>
      </c>
      <c r="E93" s="4"/>
      <c r="F93" s="4"/>
      <c r="G93" s="4">
        <f t="shared" si="7"/>
        <v>487131</v>
      </c>
      <c r="H93" s="4"/>
      <c r="I93" s="4">
        <f t="shared" si="11"/>
        <v>0</v>
      </c>
      <c r="J93" s="4">
        <f t="shared" si="11"/>
        <v>9992.57</v>
      </c>
      <c r="K93" s="4">
        <f t="shared" si="11"/>
        <v>477138.49</v>
      </c>
      <c r="L93" s="4"/>
      <c r="M93" s="14">
        <v>0</v>
      </c>
      <c r="N93" s="14">
        <v>10301.45</v>
      </c>
      <c r="O93" s="14">
        <v>487608.9</v>
      </c>
      <c r="P93" s="4"/>
      <c r="Q93" s="14">
        <v>0</v>
      </c>
      <c r="R93" s="14">
        <v>9683.69</v>
      </c>
      <c r="S93" s="14">
        <v>466668.08</v>
      </c>
      <c r="T93" s="4"/>
      <c r="U93" s="4"/>
      <c r="V93" s="4"/>
      <c r="W93" s="4"/>
      <c r="X93" s="4"/>
      <c r="Y93" s="4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38">
        <f t="shared" si="8"/>
        <v>78</v>
      </c>
      <c r="B94" s="11" t="s">
        <v>616</v>
      </c>
      <c r="C94" s="4">
        <f t="shared" si="9"/>
        <v>0</v>
      </c>
      <c r="D94" s="4">
        <f t="shared" si="10"/>
        <v>0</v>
      </c>
      <c r="E94" s="4"/>
      <c r="F94" s="4"/>
      <c r="G94" s="4">
        <f t="shared" si="7"/>
        <v>0</v>
      </c>
      <c r="H94" s="4"/>
      <c r="I94" s="4">
        <f t="shared" si="11"/>
        <v>0</v>
      </c>
      <c r="J94" s="4">
        <f t="shared" si="11"/>
        <v>0</v>
      </c>
      <c r="K94" s="4">
        <f t="shared" si="11"/>
        <v>0</v>
      </c>
      <c r="L94" s="4"/>
      <c r="M94" s="14">
        <v>0</v>
      </c>
      <c r="N94" s="14">
        <v>0</v>
      </c>
      <c r="O94" s="14">
        <v>0</v>
      </c>
      <c r="P94" s="4"/>
      <c r="Q94" s="14">
        <v>0</v>
      </c>
      <c r="R94" s="14">
        <v>0</v>
      </c>
      <c r="S94" s="14">
        <v>0</v>
      </c>
      <c r="T94" s="4"/>
      <c r="U94" s="4"/>
      <c r="V94" s="4"/>
      <c r="W94" s="4"/>
      <c r="X94" s="4"/>
      <c r="Y94" s="4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>
      <c r="A95" s="38">
        <f t="shared" si="8"/>
        <v>79</v>
      </c>
      <c r="B95" s="11" t="s">
        <v>617</v>
      </c>
      <c r="C95" s="4">
        <f t="shared" si="9"/>
        <v>0</v>
      </c>
      <c r="D95" s="4">
        <f t="shared" si="10"/>
        <v>0</v>
      </c>
      <c r="E95" s="4"/>
      <c r="F95" s="4"/>
      <c r="G95" s="4">
        <f t="shared" si="7"/>
        <v>0</v>
      </c>
      <c r="H95" s="4"/>
      <c r="I95" s="4">
        <f t="shared" si="11"/>
        <v>0</v>
      </c>
      <c r="J95" s="4">
        <f t="shared" si="11"/>
        <v>0</v>
      </c>
      <c r="K95" s="4">
        <f t="shared" si="11"/>
        <v>0</v>
      </c>
      <c r="L95" s="4"/>
      <c r="M95" s="14">
        <v>0</v>
      </c>
      <c r="N95" s="14">
        <v>0</v>
      </c>
      <c r="O95" s="14">
        <v>0</v>
      </c>
      <c r="P95" s="4"/>
      <c r="Q95" s="14">
        <v>0</v>
      </c>
      <c r="R95" s="14">
        <v>0</v>
      </c>
      <c r="S95" s="14">
        <v>0</v>
      </c>
      <c r="T95" s="4"/>
      <c r="U95" s="4"/>
      <c r="V95" s="4"/>
      <c r="W95" s="4"/>
      <c r="X95" s="4"/>
      <c r="Y95" s="4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>
      <c r="A96" s="38">
        <f t="shared" si="8"/>
        <v>80</v>
      </c>
      <c r="B96" s="11" t="s">
        <v>618</v>
      </c>
      <c r="C96" s="4">
        <f t="shared" si="9"/>
        <v>0</v>
      </c>
      <c r="D96" s="4">
        <f t="shared" si="10"/>
        <v>0</v>
      </c>
      <c r="E96" s="4"/>
      <c r="F96" s="4"/>
      <c r="G96" s="4">
        <f>ROUND(SUM(C96:F96)/2,0)</f>
        <v>0</v>
      </c>
      <c r="H96" s="4"/>
      <c r="I96" s="4">
        <f t="shared" si="11"/>
        <v>0</v>
      </c>
      <c r="J96" s="4">
        <f t="shared" si="11"/>
        <v>0</v>
      </c>
      <c r="K96" s="4">
        <f t="shared" si="11"/>
        <v>0</v>
      </c>
      <c r="L96" s="4"/>
      <c r="M96" s="14">
        <v>0</v>
      </c>
      <c r="N96" s="14">
        <v>0</v>
      </c>
      <c r="O96" s="14">
        <v>0</v>
      </c>
      <c r="P96" s="4"/>
      <c r="Q96" s="14">
        <v>0</v>
      </c>
      <c r="R96" s="14">
        <v>0</v>
      </c>
      <c r="S96" s="14">
        <v>0</v>
      </c>
      <c r="T96" s="4"/>
      <c r="U96" s="4"/>
      <c r="V96" s="4"/>
      <c r="W96" s="4"/>
      <c r="X96" s="4"/>
      <c r="Y96" s="4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>
      <c r="A97" s="38">
        <f t="shared" si="8"/>
        <v>81</v>
      </c>
      <c r="B97" s="11" t="s">
        <v>619</v>
      </c>
      <c r="C97" s="4">
        <f t="shared" si="9"/>
        <v>0</v>
      </c>
      <c r="D97" s="4">
        <f t="shared" si="10"/>
        <v>0</v>
      </c>
      <c r="E97" s="4"/>
      <c r="F97" s="4"/>
      <c r="G97" s="4">
        <f t="shared" si="7"/>
        <v>0</v>
      </c>
      <c r="H97" s="4"/>
      <c r="I97" s="4">
        <f t="shared" si="11"/>
        <v>0</v>
      </c>
      <c r="J97" s="4">
        <f t="shared" si="11"/>
        <v>0</v>
      </c>
      <c r="K97" s="4">
        <f t="shared" si="11"/>
        <v>0</v>
      </c>
      <c r="L97" s="4"/>
      <c r="M97" s="14">
        <v>0</v>
      </c>
      <c r="N97" s="14">
        <v>0</v>
      </c>
      <c r="O97" s="14">
        <v>0</v>
      </c>
      <c r="P97" s="4"/>
      <c r="Q97" s="14">
        <v>0</v>
      </c>
      <c r="R97" s="14">
        <v>0</v>
      </c>
      <c r="S97" s="14">
        <v>0</v>
      </c>
      <c r="T97" s="4"/>
      <c r="U97" s="4"/>
      <c r="V97" s="4"/>
      <c r="W97" s="4"/>
      <c r="X97" s="4"/>
      <c r="Y97" s="4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>
      <c r="A98" s="38">
        <f t="shared" si="8"/>
        <v>82</v>
      </c>
      <c r="B98" s="11" t="s">
        <v>250</v>
      </c>
      <c r="C98" s="4">
        <f t="shared" si="9"/>
        <v>-41226.84</v>
      </c>
      <c r="D98" s="4">
        <f t="shared" si="10"/>
        <v>-41226.84</v>
      </c>
      <c r="E98" s="4"/>
      <c r="F98" s="4"/>
      <c r="G98" s="4">
        <f t="shared" si="7"/>
        <v>-41227</v>
      </c>
      <c r="H98" s="4"/>
      <c r="I98" s="4">
        <f t="shared" si="11"/>
        <v>0</v>
      </c>
      <c r="J98" s="4">
        <f t="shared" si="11"/>
        <v>0</v>
      </c>
      <c r="K98" s="4">
        <f t="shared" si="11"/>
        <v>-41226.84</v>
      </c>
      <c r="L98" s="4"/>
      <c r="M98" s="14">
        <v>0</v>
      </c>
      <c r="N98" s="14">
        <v>0</v>
      </c>
      <c r="O98" s="14">
        <v>-41226.84</v>
      </c>
      <c r="P98" s="4"/>
      <c r="Q98" s="14">
        <v>0</v>
      </c>
      <c r="R98" s="14">
        <f>-244055+244055</f>
        <v>0</v>
      </c>
      <c r="S98" s="14">
        <v>-41226.84</v>
      </c>
      <c r="T98" s="4"/>
      <c r="U98" s="4"/>
      <c r="V98" s="4"/>
      <c r="W98" s="4"/>
      <c r="X98" s="4"/>
      <c r="Y98" s="4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>
      <c r="A99" s="38">
        <f t="shared" si="8"/>
        <v>83</v>
      </c>
      <c r="B99" s="11" t="s">
        <v>251</v>
      </c>
      <c r="C99" s="4">
        <f t="shared" si="9"/>
        <v>0</v>
      </c>
      <c r="D99" s="4">
        <f t="shared" si="10"/>
        <v>0</v>
      </c>
      <c r="E99" s="4"/>
      <c r="F99" s="4"/>
      <c r="G99" s="4">
        <f t="shared" si="7"/>
        <v>0</v>
      </c>
      <c r="H99" s="4"/>
      <c r="I99" s="4">
        <f t="shared" si="11"/>
        <v>0</v>
      </c>
      <c r="J99" s="4">
        <f t="shared" si="11"/>
        <v>0</v>
      </c>
      <c r="K99" s="4">
        <f t="shared" si="11"/>
        <v>0</v>
      </c>
      <c r="L99" s="4"/>
      <c r="M99" s="14">
        <v>0</v>
      </c>
      <c r="N99" s="14">
        <v>0</v>
      </c>
      <c r="O99" s="14">
        <v>0</v>
      </c>
      <c r="P99" s="4"/>
      <c r="Q99" s="14">
        <v>0</v>
      </c>
      <c r="R99" s="14">
        <v>0</v>
      </c>
      <c r="S99" s="14">
        <v>0</v>
      </c>
      <c r="T99" s="4"/>
      <c r="U99" s="4"/>
      <c r="V99" s="4"/>
      <c r="W99" s="4"/>
      <c r="X99" s="4"/>
      <c r="Y99" s="4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>
      <c r="A100" s="38">
        <f t="shared" si="8"/>
        <v>84</v>
      </c>
      <c r="B100" s="11" t="s">
        <v>252</v>
      </c>
      <c r="C100" s="4">
        <f t="shared" si="9"/>
        <v>2402750</v>
      </c>
      <c r="D100" s="4">
        <f t="shared" si="10"/>
        <v>2402750</v>
      </c>
      <c r="E100" s="4"/>
      <c r="F100" s="4"/>
      <c r="G100" s="4">
        <f t="shared" si="7"/>
        <v>2402750</v>
      </c>
      <c r="H100" s="4"/>
      <c r="I100" s="4">
        <f t="shared" si="11"/>
        <v>0</v>
      </c>
      <c r="J100" s="4">
        <f t="shared" si="11"/>
        <v>0</v>
      </c>
      <c r="K100" s="4">
        <f t="shared" si="11"/>
        <v>2402750</v>
      </c>
      <c r="L100" s="4"/>
      <c r="M100" s="14">
        <v>0</v>
      </c>
      <c r="N100" s="14">
        <v>0</v>
      </c>
      <c r="O100" s="14">
        <v>2402750</v>
      </c>
      <c r="P100" s="4"/>
      <c r="Q100" s="14">
        <v>0</v>
      </c>
      <c r="R100" s="14">
        <f>-320188+320188</f>
        <v>0</v>
      </c>
      <c r="S100" s="14">
        <v>2402750</v>
      </c>
      <c r="T100" s="4"/>
      <c r="U100" s="4"/>
      <c r="V100" s="4"/>
      <c r="W100" s="4"/>
      <c r="X100" s="4"/>
      <c r="Y100" s="4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>
      <c r="A101" s="38">
        <f t="shared" si="8"/>
        <v>85</v>
      </c>
      <c r="B101" s="11" t="s">
        <v>253</v>
      </c>
      <c r="C101" s="4">
        <f t="shared" si="9"/>
        <v>21245.35</v>
      </c>
      <c r="D101" s="4">
        <f t="shared" si="10"/>
        <v>21245.35</v>
      </c>
      <c r="E101" s="4"/>
      <c r="F101" s="4"/>
      <c r="G101" s="4">
        <f t="shared" si="7"/>
        <v>21245</v>
      </c>
      <c r="H101" s="4"/>
      <c r="I101" s="4">
        <f t="shared" si="11"/>
        <v>0</v>
      </c>
      <c r="J101" s="4">
        <f t="shared" si="11"/>
        <v>607.25</v>
      </c>
      <c r="K101" s="4">
        <f t="shared" si="11"/>
        <v>20638.1</v>
      </c>
      <c r="L101" s="4"/>
      <c r="M101" s="14">
        <v>0</v>
      </c>
      <c r="N101" s="14">
        <v>607.25</v>
      </c>
      <c r="O101" s="14">
        <v>20638.1</v>
      </c>
      <c r="P101" s="4"/>
      <c r="Q101" s="14">
        <v>0</v>
      </c>
      <c r="R101" s="14">
        <v>607.25</v>
      </c>
      <c r="S101" s="14">
        <v>20638.1</v>
      </c>
      <c r="T101" s="4"/>
      <c r="U101" s="4"/>
      <c r="V101" s="4"/>
      <c r="W101" s="4"/>
      <c r="X101" s="4"/>
      <c r="Y101" s="4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>
      <c r="A102" s="38">
        <f t="shared" si="8"/>
        <v>86</v>
      </c>
      <c r="B102" s="11" t="s">
        <v>620</v>
      </c>
      <c r="C102" s="4">
        <f t="shared" si="9"/>
        <v>0</v>
      </c>
      <c r="D102" s="4">
        <f t="shared" si="10"/>
        <v>0</v>
      </c>
      <c r="E102" s="4"/>
      <c r="F102" s="4"/>
      <c r="G102" s="4">
        <f>ROUND(SUM(C102:F102)/2,0)</f>
        <v>0</v>
      </c>
      <c r="H102" s="4"/>
      <c r="I102" s="4">
        <f t="shared" si="11"/>
        <v>0</v>
      </c>
      <c r="J102" s="4">
        <f t="shared" si="11"/>
        <v>0</v>
      </c>
      <c r="K102" s="4">
        <f t="shared" si="11"/>
        <v>0</v>
      </c>
      <c r="L102" s="4"/>
      <c r="M102" s="14">
        <v>0</v>
      </c>
      <c r="N102" s="14">
        <v>0</v>
      </c>
      <c r="O102" s="14">
        <v>0</v>
      </c>
      <c r="P102" s="4"/>
      <c r="Q102" s="14">
        <v>0</v>
      </c>
      <c r="R102" s="14">
        <v>0</v>
      </c>
      <c r="S102" s="14">
        <v>0</v>
      </c>
      <c r="T102" s="4"/>
      <c r="U102" s="4"/>
      <c r="V102" s="4"/>
      <c r="W102" s="4"/>
      <c r="X102" s="4"/>
      <c r="Y102" s="4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>
      <c r="A103" s="38">
        <f t="shared" si="8"/>
        <v>87</v>
      </c>
      <c r="B103" s="11" t="s">
        <v>621</v>
      </c>
      <c r="C103" s="4">
        <f t="shared" si="9"/>
        <v>0</v>
      </c>
      <c r="D103" s="4">
        <f t="shared" si="10"/>
        <v>0</v>
      </c>
      <c r="E103" s="4"/>
      <c r="F103" s="4"/>
      <c r="G103" s="4">
        <f t="shared" si="7"/>
        <v>0</v>
      </c>
      <c r="H103" s="4"/>
      <c r="I103" s="4">
        <f t="shared" si="11"/>
        <v>0</v>
      </c>
      <c r="J103" s="4">
        <f t="shared" si="11"/>
        <v>0</v>
      </c>
      <c r="K103" s="4">
        <f t="shared" si="11"/>
        <v>0</v>
      </c>
      <c r="L103" s="4"/>
      <c r="M103" s="14">
        <v>0</v>
      </c>
      <c r="N103" s="14">
        <v>0</v>
      </c>
      <c r="O103" s="14">
        <v>0</v>
      </c>
      <c r="P103" s="4"/>
      <c r="Q103" s="14">
        <v>0</v>
      </c>
      <c r="R103" s="14">
        <v>0</v>
      </c>
      <c r="S103" s="14">
        <v>0</v>
      </c>
      <c r="T103" s="4"/>
      <c r="U103" s="4"/>
      <c r="V103" s="4"/>
      <c r="W103" s="4"/>
      <c r="X103" s="4"/>
      <c r="Y103" s="4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>
      <c r="A104" s="38">
        <f t="shared" si="8"/>
        <v>88</v>
      </c>
      <c r="B104" s="11" t="s">
        <v>622</v>
      </c>
      <c r="C104" s="4">
        <f t="shared" si="9"/>
        <v>0</v>
      </c>
      <c r="D104" s="4">
        <f t="shared" si="10"/>
        <v>0</v>
      </c>
      <c r="E104" s="4"/>
      <c r="F104" s="4"/>
      <c r="G104" s="4">
        <f t="shared" si="7"/>
        <v>0</v>
      </c>
      <c r="H104" s="4"/>
      <c r="I104" s="4">
        <f t="shared" si="11"/>
        <v>0</v>
      </c>
      <c r="J104" s="4">
        <f t="shared" si="11"/>
        <v>0</v>
      </c>
      <c r="K104" s="4">
        <f t="shared" si="11"/>
        <v>0</v>
      </c>
      <c r="L104" s="4"/>
      <c r="M104" s="14">
        <v>0</v>
      </c>
      <c r="N104" s="14">
        <v>0</v>
      </c>
      <c r="O104" s="14">
        <v>0</v>
      </c>
      <c r="P104" s="4"/>
      <c r="Q104" s="14">
        <v>0</v>
      </c>
      <c r="R104" s="14">
        <v>0</v>
      </c>
      <c r="S104" s="14">
        <v>0</v>
      </c>
      <c r="T104" s="4"/>
      <c r="U104" s="4"/>
      <c r="V104" s="4"/>
      <c r="W104" s="4"/>
      <c r="X104" s="4"/>
      <c r="Y104" s="4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>
      <c r="A105" s="38">
        <f t="shared" si="8"/>
        <v>89</v>
      </c>
      <c r="B105" s="11" t="s">
        <v>623</v>
      </c>
      <c r="C105" s="4">
        <f t="shared" si="9"/>
        <v>0</v>
      </c>
      <c r="D105" s="4">
        <f t="shared" si="10"/>
        <v>0</v>
      </c>
      <c r="E105" s="4"/>
      <c r="F105" s="4"/>
      <c r="G105" s="4">
        <f>ROUND(SUM(C105:F105)/2,0)</f>
        <v>0</v>
      </c>
      <c r="H105" s="4"/>
      <c r="I105" s="4">
        <f t="shared" si="11"/>
        <v>0</v>
      </c>
      <c r="J105" s="4">
        <f t="shared" si="11"/>
        <v>0</v>
      </c>
      <c r="K105" s="4">
        <f t="shared" si="11"/>
        <v>0</v>
      </c>
      <c r="L105" s="4"/>
      <c r="M105" s="14">
        <v>0</v>
      </c>
      <c r="N105" s="14">
        <v>0</v>
      </c>
      <c r="O105" s="14">
        <v>0</v>
      </c>
      <c r="P105" s="4"/>
      <c r="Q105" s="14">
        <v>0</v>
      </c>
      <c r="R105" s="14">
        <v>0</v>
      </c>
      <c r="S105" s="14">
        <v>0</v>
      </c>
      <c r="T105" s="4"/>
      <c r="U105" s="4"/>
      <c r="V105" s="4"/>
      <c r="W105" s="4"/>
      <c r="X105" s="4"/>
      <c r="Y105" s="4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>
      <c r="A106" s="38">
        <f t="shared" si="8"/>
        <v>90</v>
      </c>
      <c r="B106" s="11" t="s">
        <v>624</v>
      </c>
      <c r="C106" s="4">
        <f t="shared" si="9"/>
        <v>0</v>
      </c>
      <c r="D106" s="4">
        <f t="shared" si="10"/>
        <v>0</v>
      </c>
      <c r="E106" s="4"/>
      <c r="F106" s="4"/>
      <c r="G106" s="4">
        <f t="shared" si="7"/>
        <v>0</v>
      </c>
      <c r="H106" s="4"/>
      <c r="I106" s="4">
        <f t="shared" si="11"/>
        <v>0</v>
      </c>
      <c r="J106" s="4">
        <f t="shared" si="11"/>
        <v>0</v>
      </c>
      <c r="K106" s="4">
        <f t="shared" si="11"/>
        <v>0</v>
      </c>
      <c r="L106" s="4"/>
      <c r="M106" s="14">
        <v>0</v>
      </c>
      <c r="N106" s="14">
        <v>0</v>
      </c>
      <c r="O106" s="14">
        <v>0</v>
      </c>
      <c r="P106" s="4"/>
      <c r="Q106" s="14">
        <v>0</v>
      </c>
      <c r="R106" s="14">
        <v>0</v>
      </c>
      <c r="S106" s="14">
        <v>0</v>
      </c>
      <c r="T106" s="4"/>
      <c r="U106" s="4"/>
      <c r="V106" s="4"/>
      <c r="W106" s="4"/>
      <c r="X106" s="4"/>
      <c r="Y106" s="4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>
      <c r="A107" s="38">
        <f t="shared" si="8"/>
        <v>91</v>
      </c>
      <c r="B107" s="11" t="s">
        <v>625</v>
      </c>
      <c r="C107" s="4">
        <f t="shared" si="9"/>
        <v>0</v>
      </c>
      <c r="D107" s="4">
        <f t="shared" si="10"/>
        <v>0</v>
      </c>
      <c r="E107" s="4"/>
      <c r="F107" s="4"/>
      <c r="G107" s="4">
        <f>ROUND(SUM(C107:F107)/2,0)</f>
        <v>0</v>
      </c>
      <c r="H107" s="4"/>
      <c r="I107" s="4">
        <f t="shared" si="11"/>
        <v>0</v>
      </c>
      <c r="J107" s="4">
        <f t="shared" si="11"/>
        <v>0</v>
      </c>
      <c r="K107" s="4">
        <f t="shared" si="11"/>
        <v>0</v>
      </c>
      <c r="L107" s="4"/>
      <c r="M107" s="14">
        <v>0</v>
      </c>
      <c r="N107" s="14">
        <v>0</v>
      </c>
      <c r="O107" s="14">
        <v>0</v>
      </c>
      <c r="P107" s="4"/>
      <c r="Q107" s="14">
        <v>0</v>
      </c>
      <c r="R107" s="14">
        <v>0</v>
      </c>
      <c r="S107" s="14">
        <v>0</v>
      </c>
      <c r="T107" s="4"/>
      <c r="U107" s="4"/>
      <c r="V107" s="4"/>
      <c r="W107" s="4"/>
      <c r="X107" s="4"/>
      <c r="Y107" s="4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>
      <c r="A108" s="38">
        <f t="shared" si="8"/>
        <v>92</v>
      </c>
      <c r="B108" s="4" t="s">
        <v>626</v>
      </c>
      <c r="C108" s="4">
        <f t="shared" si="9"/>
        <v>0</v>
      </c>
      <c r="D108" s="4">
        <f t="shared" si="10"/>
        <v>0</v>
      </c>
      <c r="E108" s="4"/>
      <c r="F108" s="4"/>
      <c r="G108" s="4">
        <f>ROUND(SUM(C108:F108)/2,0)</f>
        <v>0</v>
      </c>
      <c r="H108" s="4"/>
      <c r="I108" s="4">
        <f t="shared" si="11"/>
        <v>0</v>
      </c>
      <c r="J108" s="4">
        <f t="shared" si="11"/>
        <v>0</v>
      </c>
      <c r="K108" s="4">
        <f t="shared" si="11"/>
        <v>0</v>
      </c>
      <c r="L108" s="4"/>
      <c r="M108" s="14">
        <v>0</v>
      </c>
      <c r="N108" s="14">
        <v>0</v>
      </c>
      <c r="O108" s="14">
        <v>0</v>
      </c>
      <c r="P108" s="4"/>
      <c r="Q108" s="14">
        <v>0</v>
      </c>
      <c r="R108" s="14">
        <v>0</v>
      </c>
      <c r="S108" s="14">
        <v>0</v>
      </c>
      <c r="T108" s="4"/>
      <c r="U108" s="4"/>
      <c r="V108" s="4"/>
      <c r="W108" s="4"/>
      <c r="X108" s="4"/>
      <c r="Y108" s="4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>
      <c r="A109" s="38">
        <f t="shared" si="8"/>
        <v>93</v>
      </c>
      <c r="B109" s="11" t="s">
        <v>627</v>
      </c>
      <c r="C109" s="4">
        <f t="shared" si="9"/>
        <v>0</v>
      </c>
      <c r="D109" s="4">
        <f t="shared" si="10"/>
        <v>0</v>
      </c>
      <c r="E109" s="4"/>
      <c r="F109" s="4"/>
      <c r="G109" s="4">
        <f aca="true" t="shared" si="12" ref="G109:G121">ROUND(SUM(C109:F109)/2,0)</f>
        <v>0</v>
      </c>
      <c r="H109" s="4"/>
      <c r="I109" s="4">
        <f t="shared" si="11"/>
        <v>0</v>
      </c>
      <c r="J109" s="4">
        <f t="shared" si="11"/>
        <v>0</v>
      </c>
      <c r="K109" s="4">
        <f t="shared" si="11"/>
        <v>0</v>
      </c>
      <c r="L109" s="4"/>
      <c r="M109" s="14">
        <v>0</v>
      </c>
      <c r="N109" s="14">
        <v>0</v>
      </c>
      <c r="O109" s="14">
        <v>0</v>
      </c>
      <c r="P109" s="4"/>
      <c r="Q109" s="14">
        <v>0</v>
      </c>
      <c r="R109" s="14">
        <v>0</v>
      </c>
      <c r="S109" s="14">
        <v>0</v>
      </c>
      <c r="T109" s="4"/>
      <c r="U109" s="4"/>
      <c r="V109" s="4"/>
      <c r="W109" s="4"/>
      <c r="X109" s="4"/>
      <c r="Y109" s="4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>
      <c r="A110" s="38">
        <f t="shared" si="8"/>
        <v>94</v>
      </c>
      <c r="B110" s="11" t="s">
        <v>257</v>
      </c>
      <c r="C110" s="4">
        <f t="shared" si="9"/>
        <v>1350865.05</v>
      </c>
      <c r="D110" s="4">
        <f t="shared" si="10"/>
        <v>1652678.45</v>
      </c>
      <c r="E110" s="4"/>
      <c r="F110" s="4"/>
      <c r="G110" s="4">
        <f t="shared" si="12"/>
        <v>1501772</v>
      </c>
      <c r="H110" s="4"/>
      <c r="I110" s="4">
        <f t="shared" si="11"/>
        <v>0</v>
      </c>
      <c r="J110" s="4">
        <f t="shared" si="11"/>
        <v>0</v>
      </c>
      <c r="K110" s="4">
        <f t="shared" si="11"/>
        <v>1501771.75</v>
      </c>
      <c r="L110" s="4"/>
      <c r="M110" s="14">
        <v>0</v>
      </c>
      <c r="N110" s="14">
        <v>0</v>
      </c>
      <c r="O110" s="14">
        <v>1350865.05</v>
      </c>
      <c r="P110" s="4"/>
      <c r="Q110" s="14">
        <v>0</v>
      </c>
      <c r="R110" s="14">
        <v>0</v>
      </c>
      <c r="S110" s="14">
        <v>1652678.45</v>
      </c>
      <c r="T110" s="4"/>
      <c r="U110" s="4"/>
      <c r="V110" s="4"/>
      <c r="W110" s="4"/>
      <c r="X110" s="4"/>
      <c r="Y110" s="4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>
      <c r="A111" s="38">
        <f t="shared" si="8"/>
        <v>95</v>
      </c>
      <c r="B111" s="11" t="s">
        <v>260</v>
      </c>
      <c r="C111" s="4">
        <f t="shared" si="9"/>
        <v>2222301</v>
      </c>
      <c r="D111" s="4">
        <f t="shared" si="10"/>
        <v>7652301</v>
      </c>
      <c r="E111" s="4"/>
      <c r="F111" s="4"/>
      <c r="G111" s="4">
        <f t="shared" si="12"/>
        <v>4937301</v>
      </c>
      <c r="H111" s="4"/>
      <c r="I111" s="4">
        <f t="shared" si="11"/>
        <v>0</v>
      </c>
      <c r="J111" s="4">
        <f t="shared" si="11"/>
        <v>3655</v>
      </c>
      <c r="K111" s="4">
        <f t="shared" si="11"/>
        <v>4933646</v>
      </c>
      <c r="L111" s="4"/>
      <c r="M111" s="14">
        <v>0</v>
      </c>
      <c r="N111" s="14">
        <v>3655</v>
      </c>
      <c r="O111" s="14">
        <v>2218646</v>
      </c>
      <c r="P111" s="4"/>
      <c r="Q111" s="14">
        <v>0</v>
      </c>
      <c r="R111" s="14">
        <v>3655</v>
      </c>
      <c r="S111" s="14">
        <v>7648646</v>
      </c>
      <c r="T111" s="4"/>
      <c r="U111" s="4"/>
      <c r="V111" s="4"/>
      <c r="W111" s="4"/>
      <c r="X111" s="4"/>
      <c r="Y111" s="4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>
      <c r="A112" s="38">
        <f t="shared" si="8"/>
        <v>96</v>
      </c>
      <c r="B112" s="4" t="s">
        <v>10</v>
      </c>
      <c r="C112" s="4">
        <f t="shared" si="9"/>
        <v>11518741.5</v>
      </c>
      <c r="D112" s="4">
        <f t="shared" si="10"/>
        <v>11475768.850000001</v>
      </c>
      <c r="E112" s="4"/>
      <c r="F112" s="4"/>
      <c r="G112" s="4">
        <f t="shared" si="12"/>
        <v>11497255</v>
      </c>
      <c r="H112" s="4"/>
      <c r="I112" s="4">
        <f t="shared" si="11"/>
        <v>0</v>
      </c>
      <c r="J112" s="4">
        <f t="shared" si="11"/>
        <v>2924882.625</v>
      </c>
      <c r="K112" s="4">
        <f t="shared" si="11"/>
        <v>8572372.55</v>
      </c>
      <c r="L112" s="4"/>
      <c r="M112" s="14">
        <v>0</v>
      </c>
      <c r="N112" s="14">
        <v>3075532.95</v>
      </c>
      <c r="O112" s="14">
        <v>8443208.55</v>
      </c>
      <c r="P112" s="4"/>
      <c r="Q112" s="14">
        <v>0</v>
      </c>
      <c r="R112" s="14">
        <v>2774232.3</v>
      </c>
      <c r="S112" s="14">
        <v>8701536.55</v>
      </c>
      <c r="T112" s="4"/>
      <c r="U112" s="4"/>
      <c r="V112" s="4"/>
      <c r="W112" s="4"/>
      <c r="X112" s="4"/>
      <c r="Y112" s="4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>
      <c r="A113" s="38">
        <f t="shared" si="8"/>
        <v>97</v>
      </c>
      <c r="B113" s="11" t="s">
        <v>249</v>
      </c>
      <c r="C113" s="4">
        <f t="shared" si="9"/>
        <v>-1476.65</v>
      </c>
      <c r="D113" s="4">
        <f t="shared" si="10"/>
        <v>-7648.55</v>
      </c>
      <c r="E113" s="4"/>
      <c r="F113" s="4"/>
      <c r="G113" s="4">
        <f t="shared" si="12"/>
        <v>-4563</v>
      </c>
      <c r="H113" s="4"/>
      <c r="I113" s="4">
        <f t="shared" si="11"/>
        <v>0</v>
      </c>
      <c r="J113" s="4">
        <f t="shared" si="11"/>
        <v>-1098.3</v>
      </c>
      <c r="K113" s="4">
        <f t="shared" si="11"/>
        <v>-3464.3</v>
      </c>
      <c r="L113" s="4"/>
      <c r="M113" s="14">
        <v>0</v>
      </c>
      <c r="N113" s="14">
        <v>-1009.4</v>
      </c>
      <c r="O113" s="14">
        <v>-467.25</v>
      </c>
      <c r="P113" s="4"/>
      <c r="Q113" s="14">
        <v>0</v>
      </c>
      <c r="R113" s="14">
        <v>-1187.2</v>
      </c>
      <c r="S113" s="14">
        <v>-6461.35</v>
      </c>
      <c r="T113" s="4"/>
      <c r="U113" s="4"/>
      <c r="V113" s="4"/>
      <c r="W113" s="4"/>
      <c r="X113" s="4"/>
      <c r="Y113" s="4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>
      <c r="A114" s="38">
        <f t="shared" si="8"/>
        <v>98</v>
      </c>
      <c r="B114" s="11" t="s">
        <v>259</v>
      </c>
      <c r="C114" s="4">
        <f t="shared" si="9"/>
        <v>1979157.27</v>
      </c>
      <c r="D114" s="4">
        <f t="shared" si="10"/>
        <v>1792437.68</v>
      </c>
      <c r="E114" s="4"/>
      <c r="F114" s="4"/>
      <c r="G114" s="4">
        <f t="shared" si="12"/>
        <v>1885797</v>
      </c>
      <c r="H114" s="4"/>
      <c r="I114" s="4">
        <f t="shared" si="11"/>
        <v>0</v>
      </c>
      <c r="J114" s="4">
        <f t="shared" si="11"/>
        <v>760421.63</v>
      </c>
      <c r="K114" s="4">
        <f t="shared" si="11"/>
        <v>1125375.845</v>
      </c>
      <c r="L114" s="4"/>
      <c r="M114" s="14">
        <v>0</v>
      </c>
      <c r="N114" s="14">
        <v>829697.81</v>
      </c>
      <c r="O114" s="14">
        <v>1149459.46</v>
      </c>
      <c r="P114" s="4"/>
      <c r="Q114" s="14">
        <v>0</v>
      </c>
      <c r="R114" s="14">
        <v>691145.45</v>
      </c>
      <c r="S114" s="14">
        <v>1101292.23</v>
      </c>
      <c r="T114" s="4"/>
      <c r="U114" s="4"/>
      <c r="V114" s="4"/>
      <c r="W114" s="4"/>
      <c r="X114" s="4"/>
      <c r="Y114" s="4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>
      <c r="A115" s="38">
        <f t="shared" si="8"/>
        <v>99</v>
      </c>
      <c r="B115" s="4" t="s">
        <v>16</v>
      </c>
      <c r="C115" s="9">
        <v>12581130.16</v>
      </c>
      <c r="D115" s="9">
        <v>23020475.66</v>
      </c>
      <c r="E115" s="4">
        <f aca="true" t="shared" si="13" ref="E115:F118">-C115</f>
        <v>-12581130.16</v>
      </c>
      <c r="F115" s="4">
        <f t="shared" si="13"/>
        <v>-23020475.66</v>
      </c>
      <c r="G115" s="4">
        <f t="shared" si="12"/>
        <v>0</v>
      </c>
      <c r="H115" s="4"/>
      <c r="I115" s="4"/>
      <c r="J115" s="4"/>
      <c r="K115" s="4"/>
      <c r="L115" s="4"/>
      <c r="M115" s="4"/>
      <c r="N115" s="78"/>
      <c r="O115" s="4"/>
      <c r="P115" s="4"/>
      <c r="Q115" s="4"/>
      <c r="R115" s="78"/>
      <c r="S115" s="4"/>
      <c r="T115" s="4"/>
      <c r="U115" s="4"/>
      <c r="V115" s="4"/>
      <c r="W115" s="4"/>
      <c r="X115" s="4"/>
      <c r="Y115" s="4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>
      <c r="A116" s="38">
        <f t="shared" si="8"/>
        <v>100</v>
      </c>
      <c r="B116" s="4" t="s">
        <v>262</v>
      </c>
      <c r="C116" s="9">
        <v>601983.36</v>
      </c>
      <c r="D116" s="9">
        <v>623477.21</v>
      </c>
      <c r="E116" s="4">
        <f t="shared" si="13"/>
        <v>-601983.36</v>
      </c>
      <c r="F116" s="4">
        <f t="shared" si="13"/>
        <v>-623477.21</v>
      </c>
      <c r="G116" s="4">
        <f t="shared" si="12"/>
        <v>0</v>
      </c>
      <c r="H116" s="4"/>
      <c r="I116" s="4"/>
      <c r="J116" s="4"/>
      <c r="K116" s="4"/>
      <c r="L116" s="4"/>
      <c r="M116" s="4"/>
      <c r="N116" s="78"/>
      <c r="O116" s="4"/>
      <c r="P116" s="4"/>
      <c r="Q116" s="4"/>
      <c r="R116" s="78"/>
      <c r="S116" s="4"/>
      <c r="T116" s="4"/>
      <c r="U116" s="4"/>
      <c r="V116" s="4"/>
      <c r="W116" s="4"/>
      <c r="X116" s="4"/>
      <c r="Y116" s="4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>
      <c r="A117" s="38">
        <f t="shared" si="8"/>
        <v>101</v>
      </c>
      <c r="B117" s="4" t="s">
        <v>263</v>
      </c>
      <c r="C117" s="9">
        <v>443164.34</v>
      </c>
      <c r="D117" s="9">
        <v>417448.5</v>
      </c>
      <c r="E117" s="4">
        <f t="shared" si="13"/>
        <v>-443164.34</v>
      </c>
      <c r="F117" s="4">
        <f t="shared" si="13"/>
        <v>-417448.5</v>
      </c>
      <c r="G117" s="4">
        <f t="shared" si="12"/>
        <v>0</v>
      </c>
      <c r="H117" s="4"/>
      <c r="I117" s="4"/>
      <c r="J117" s="4"/>
      <c r="K117" s="4"/>
      <c r="L117" s="4"/>
      <c r="M117" s="4"/>
      <c r="N117" s="78"/>
      <c r="O117" s="4"/>
      <c r="P117" s="4"/>
      <c r="Q117" s="4"/>
      <c r="R117" s="78"/>
      <c r="S117" s="4"/>
      <c r="T117" s="4"/>
      <c r="U117" s="4"/>
      <c r="V117" s="4"/>
      <c r="W117" s="4"/>
      <c r="X117" s="4"/>
      <c r="Y117" s="4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>
      <c r="A118" s="38">
        <f t="shared" si="8"/>
        <v>102</v>
      </c>
      <c r="B118" s="4" t="s">
        <v>264</v>
      </c>
      <c r="C118" s="9">
        <v>0</v>
      </c>
      <c r="D118" s="9">
        <v>0</v>
      </c>
      <c r="E118" s="4">
        <f t="shared" si="13"/>
        <v>0</v>
      </c>
      <c r="F118" s="4">
        <f t="shared" si="13"/>
        <v>0</v>
      </c>
      <c r="G118" s="4">
        <f t="shared" si="12"/>
        <v>0</v>
      </c>
      <c r="H118" s="4"/>
      <c r="I118" s="4"/>
      <c r="J118" s="4"/>
      <c r="K118" s="4"/>
      <c r="L118" s="4"/>
      <c r="M118" s="4"/>
      <c r="N118" s="78"/>
      <c r="O118" s="4"/>
      <c r="P118" s="4"/>
      <c r="Q118" s="4"/>
      <c r="R118" s="78"/>
      <c r="S118" s="4"/>
      <c r="T118" s="4"/>
      <c r="U118" s="4"/>
      <c r="V118" s="4"/>
      <c r="W118" s="4"/>
      <c r="X118" s="4"/>
      <c r="Y118" s="4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>
      <c r="A119" s="38">
        <f t="shared" si="8"/>
        <v>103</v>
      </c>
      <c r="B119" s="11" t="s">
        <v>265</v>
      </c>
      <c r="C119" s="9">
        <v>0</v>
      </c>
      <c r="D119" s="9">
        <v>0</v>
      </c>
      <c r="E119" s="4">
        <f>-C119</f>
        <v>0</v>
      </c>
      <c r="F119" s="4">
        <f>-D119</f>
        <v>0</v>
      </c>
      <c r="G119" s="4">
        <f t="shared" si="12"/>
        <v>0</v>
      </c>
      <c r="H119" s="4"/>
      <c r="I119" s="4"/>
      <c r="J119" s="4"/>
      <c r="K119" s="4"/>
      <c r="L119" s="4"/>
      <c r="M119" s="4"/>
      <c r="N119" s="78"/>
      <c r="O119" s="4"/>
      <c r="P119" s="4"/>
      <c r="Q119" s="4"/>
      <c r="R119" s="78"/>
      <c r="S119" s="4"/>
      <c r="T119" s="4"/>
      <c r="U119" s="4"/>
      <c r="V119" s="4"/>
      <c r="W119" s="4"/>
      <c r="X119" s="4"/>
      <c r="Y119" s="4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>
      <c r="A120" s="38">
        <f t="shared" si="8"/>
        <v>104</v>
      </c>
      <c r="B120" s="11" t="s">
        <v>628</v>
      </c>
      <c r="C120" s="9">
        <v>0</v>
      </c>
      <c r="D120" s="9">
        <v>0</v>
      </c>
      <c r="E120" s="4">
        <f>-C120</f>
        <v>0</v>
      </c>
      <c r="F120" s="4">
        <f>-D120</f>
        <v>0</v>
      </c>
      <c r="G120" s="4">
        <f>ROUND(SUM(C120:F120)/2,0)</f>
        <v>0</v>
      </c>
      <c r="H120" s="4"/>
      <c r="I120" s="4"/>
      <c r="J120" s="4"/>
      <c r="K120" s="4"/>
      <c r="L120" s="4"/>
      <c r="M120" s="4"/>
      <c r="N120" s="78"/>
      <c r="O120" s="4"/>
      <c r="P120" s="4"/>
      <c r="Q120" s="4"/>
      <c r="R120" s="78"/>
      <c r="S120" s="4"/>
      <c r="T120" s="4"/>
      <c r="U120" s="4"/>
      <c r="V120" s="4"/>
      <c r="W120" s="4"/>
      <c r="X120" s="4"/>
      <c r="Y120" s="4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>
      <c r="A121" s="38">
        <f t="shared" si="8"/>
        <v>105</v>
      </c>
      <c r="B121" s="11" t="s">
        <v>272</v>
      </c>
      <c r="C121" s="4">
        <f>SUM(M121:O121)</f>
        <v>1637031.25</v>
      </c>
      <c r="D121" s="4">
        <f>SUM(Q121:S121)</f>
        <v>4453049</v>
      </c>
      <c r="E121" s="4"/>
      <c r="F121" s="4"/>
      <c r="G121" s="4">
        <f t="shared" si="12"/>
        <v>3045040</v>
      </c>
      <c r="H121" s="4"/>
      <c r="I121" s="4">
        <f>(M121+Q121)/2</f>
        <v>0</v>
      </c>
      <c r="J121" s="4">
        <f>(N121+R121)/2</f>
        <v>0</v>
      </c>
      <c r="K121" s="4">
        <f>(O121+S121)/2</f>
        <v>3045040.125</v>
      </c>
      <c r="L121" s="4"/>
      <c r="M121" s="9">
        <v>0</v>
      </c>
      <c r="N121" s="9">
        <v>0</v>
      </c>
      <c r="O121" s="9">
        <v>1637031.25</v>
      </c>
      <c r="P121" s="4"/>
      <c r="Q121" s="9">
        <v>0</v>
      </c>
      <c r="R121" s="9">
        <v>0</v>
      </c>
      <c r="S121" s="9">
        <v>4453049</v>
      </c>
      <c r="T121" s="4"/>
      <c r="U121" s="4"/>
      <c r="V121" s="4"/>
      <c r="W121" s="4"/>
      <c r="X121" s="4"/>
      <c r="Y121" s="4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>
      <c r="A122" s="38">
        <f t="shared" si="8"/>
        <v>106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7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thickBot="1">
      <c r="A123" s="38">
        <f t="shared" si="8"/>
        <v>107</v>
      </c>
      <c r="B123" s="11" t="s">
        <v>273</v>
      </c>
      <c r="C123" s="60">
        <f>SUM(C17:C122)</f>
        <v>162358840.98999995</v>
      </c>
      <c r="D123" s="60">
        <f>SUM(D17:D122)</f>
        <v>171815965.18000004</v>
      </c>
      <c r="E123" s="60">
        <f>SUM(E17:E122)</f>
        <v>-13626277.86</v>
      </c>
      <c r="F123" s="60">
        <f>SUM(F17:F122)</f>
        <v>-24061401.37</v>
      </c>
      <c r="G123" s="60">
        <f>SUM(G17:G122)</f>
        <v>148243564</v>
      </c>
      <c r="H123" s="4"/>
      <c r="I123" s="60">
        <f>SUM(I17:I122)</f>
        <v>0</v>
      </c>
      <c r="J123" s="60">
        <f>SUM(J17:J122)</f>
        <v>20407115.054999996</v>
      </c>
      <c r="K123" s="60">
        <f>SUM(K17:K122)</f>
        <v>127836448.41499998</v>
      </c>
      <c r="L123" s="4"/>
      <c r="M123" s="60">
        <f>SUM(M17:M122)</f>
        <v>0</v>
      </c>
      <c r="N123" s="60">
        <f>SUM(N17:N122)</f>
        <v>20202932.11</v>
      </c>
      <c r="O123" s="60">
        <f>SUM(O17:O122)</f>
        <v>128529631.01999998</v>
      </c>
      <c r="P123" s="4"/>
      <c r="Q123" s="60">
        <f>SUM(Q17:Q122)</f>
        <v>0</v>
      </c>
      <c r="R123" s="60">
        <f>SUM(R17:R122)</f>
        <v>20611298.000000007</v>
      </c>
      <c r="S123" s="60">
        <f>SUM(S17:S122)</f>
        <v>127143265.81000002</v>
      </c>
      <c r="T123" s="4"/>
      <c r="U123" s="4"/>
      <c r="V123" s="4"/>
      <c r="W123" s="4"/>
      <c r="X123" s="4"/>
      <c r="Y123" s="4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ht="13.5" thickTop="1"/>
  </sheetData>
  <sheetProtection/>
  <printOptions/>
  <pageMargins left="0.7" right="0.7" top="0.75" bottom="0.75" header="0.3" footer="0.3"/>
  <pageSetup fitToHeight="8" fitToWidth="4" horizontalDpi="600" verticalDpi="600" orientation="portrait" scale="55" r:id="rId1"/>
  <headerFooter alignWithMargins="0">
    <oddHeader>&amp;RSTATEMENT AG-3-2
Page &amp;P of &amp;N</oddHeader>
  </headerFooter>
  <colBreaks count="2" manualBreakCount="2">
    <brk id="7" max="116" man="1"/>
    <brk id="16" max="1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1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5" sqref="B25"/>
    </sheetView>
  </sheetViews>
  <sheetFormatPr defaultColWidth="12.7109375" defaultRowHeight="12.75"/>
  <cols>
    <col min="1" max="1" width="4.7109375" style="2" customWidth="1"/>
    <col min="2" max="2" width="54.710937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26" t="s">
        <v>629</v>
      </c>
      <c r="G1" s="8"/>
      <c r="H1" s="8"/>
      <c r="I1" s="8"/>
      <c r="J1" s="8"/>
      <c r="K1" s="8"/>
      <c r="L1" s="8"/>
      <c r="S1" s="8"/>
    </row>
    <row r="2" spans="2:19" ht="12.75">
      <c r="B2" s="26" t="s">
        <v>180</v>
      </c>
      <c r="G2" s="8"/>
      <c r="H2" s="8"/>
      <c r="I2" s="8"/>
      <c r="J2" s="8"/>
      <c r="K2" s="8"/>
      <c r="L2" s="8"/>
      <c r="S2" s="7"/>
    </row>
    <row r="3" ht="12.75">
      <c r="B3" s="26" t="s">
        <v>179</v>
      </c>
    </row>
    <row r="4" spans="7:12" ht="12.75">
      <c r="G4" s="25" t="s">
        <v>178</v>
      </c>
      <c r="H4" s="25"/>
      <c r="I4" s="25"/>
      <c r="J4" s="25"/>
      <c r="K4" s="25"/>
      <c r="L4" s="25"/>
    </row>
    <row r="5" ht="12.75">
      <c r="B5" s="24"/>
    </row>
    <row r="6" ht="12.75"/>
    <row r="7" ht="12.75"/>
    <row r="8" spans="2:19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/>
      <c r="M8" s="18" t="s">
        <v>168</v>
      </c>
      <c r="N8" s="18" t="s">
        <v>167</v>
      </c>
      <c r="O8" s="18" t="s">
        <v>166</v>
      </c>
      <c r="Q8" s="18" t="s">
        <v>165</v>
      </c>
      <c r="R8" s="18" t="s">
        <v>164</v>
      </c>
      <c r="S8" s="18" t="s">
        <v>163</v>
      </c>
    </row>
    <row r="9" ht="12.75"/>
    <row r="10" spans="3:19" ht="12.75">
      <c r="C10" s="21" t="s">
        <v>162</v>
      </c>
      <c r="D10" s="21"/>
      <c r="E10" s="23" t="s">
        <v>161</v>
      </c>
      <c r="F10" s="21"/>
      <c r="G10" s="19" t="s">
        <v>160</v>
      </c>
      <c r="H10" s="19"/>
      <c r="I10" s="22" t="s">
        <v>159</v>
      </c>
      <c r="J10" s="21"/>
      <c r="K10" s="21"/>
      <c r="L10" s="19"/>
      <c r="M10" s="36" t="s">
        <v>158</v>
      </c>
      <c r="N10" s="21"/>
      <c r="O10" s="21"/>
      <c r="Q10" s="36" t="s">
        <v>157</v>
      </c>
      <c r="R10" s="21"/>
      <c r="S10" s="21"/>
    </row>
    <row r="11" spans="3:19" ht="12.75">
      <c r="C11" s="20"/>
      <c r="D11" s="20"/>
      <c r="G11" s="19" t="s">
        <v>156</v>
      </c>
      <c r="H11" s="19"/>
      <c r="I11" s="20"/>
      <c r="J11" s="20"/>
      <c r="K11" s="20"/>
      <c r="L11" s="19"/>
      <c r="M11" s="20"/>
      <c r="N11" s="20"/>
      <c r="O11" s="20"/>
      <c r="Q11" s="20"/>
      <c r="R11" s="20"/>
      <c r="S11" s="20"/>
    </row>
    <row r="12" spans="3:12" ht="12.75">
      <c r="C12" s="19" t="s">
        <v>155</v>
      </c>
      <c r="D12" s="19" t="s">
        <v>155</v>
      </c>
      <c r="E12" s="19" t="s">
        <v>155</v>
      </c>
      <c r="F12" s="19" t="s">
        <v>155</v>
      </c>
      <c r="G12" s="19" t="s">
        <v>154</v>
      </c>
      <c r="H12" s="19"/>
      <c r="L12" s="19"/>
    </row>
    <row r="13" spans="2:19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E13</f>
        <v>OF 12-31-15</v>
      </c>
      <c r="G13" s="18" t="s">
        <v>150</v>
      </c>
      <c r="H13" s="18"/>
      <c r="I13" s="18" t="s">
        <v>149</v>
      </c>
      <c r="J13" s="18" t="s">
        <v>148</v>
      </c>
      <c r="K13" s="18" t="s">
        <v>147</v>
      </c>
      <c r="L13" s="18"/>
      <c r="M13" s="18" t="s">
        <v>149</v>
      </c>
      <c r="N13" s="18" t="s">
        <v>148</v>
      </c>
      <c r="O13" s="18" t="s">
        <v>147</v>
      </c>
      <c r="Q13" s="18" t="s">
        <v>149</v>
      </c>
      <c r="R13" s="18" t="s">
        <v>148</v>
      </c>
      <c r="S13" s="18" t="s">
        <v>147</v>
      </c>
    </row>
    <row r="14" spans="1:18" ht="12.7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ht="12.75">
      <c r="A15" s="5">
        <v>1</v>
      </c>
      <c r="B15" s="7" t="s">
        <v>146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5">
        <f aca="true" t="shared" si="0" ref="A16:A79">A15+1</f>
        <v>2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5">
        <f t="shared" si="0"/>
        <v>3</v>
      </c>
      <c r="B17" s="7" t="s">
        <v>145</v>
      </c>
      <c r="C17" s="4">
        <f>SUM(M17:O17)</f>
        <v>59301295</v>
      </c>
      <c r="D17" s="4">
        <f>SUM(Q17:S17)</f>
        <v>0</v>
      </c>
      <c r="E17" s="4"/>
      <c r="F17" s="4"/>
      <c r="G17" s="4">
        <f>ROUND(SUM(C17:F17)/2,0)</f>
        <v>29650648</v>
      </c>
      <c r="H17" s="4"/>
      <c r="I17" s="4">
        <f>(M17+Q17)/2</f>
        <v>29650647.5</v>
      </c>
      <c r="J17" s="4">
        <f>(N17+R17)/2</f>
        <v>0</v>
      </c>
      <c r="K17" s="4">
        <f>(O17+S17)/2</f>
        <v>0</v>
      </c>
      <c r="L17" s="4"/>
      <c r="M17" s="9">
        <v>59301295</v>
      </c>
      <c r="N17" s="9">
        <v>0</v>
      </c>
      <c r="O17" s="9">
        <v>0</v>
      </c>
      <c r="P17" s="4"/>
      <c r="Q17" s="9">
        <v>0</v>
      </c>
      <c r="R17" s="9">
        <v>0</v>
      </c>
      <c r="S17" s="9">
        <v>0</v>
      </c>
    </row>
    <row r="18" spans="1:19" ht="12.75">
      <c r="A18" s="5">
        <f t="shared" si="0"/>
        <v>4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5">
        <f t="shared" si="0"/>
        <v>5</v>
      </c>
      <c r="B19" s="8" t="s">
        <v>16</v>
      </c>
      <c r="C19" s="4">
        <v>0</v>
      </c>
      <c r="D19" s="4">
        <v>0</v>
      </c>
      <c r="E19" s="4">
        <f aca="true" t="shared" si="1" ref="E19:F21">-C19</f>
        <v>0</v>
      </c>
      <c r="F19" s="4">
        <f t="shared" si="1"/>
        <v>0</v>
      </c>
      <c r="G19" s="4">
        <f>ROUND(SUM(C19:F19)/2,0)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5">
        <f t="shared" si="0"/>
        <v>6</v>
      </c>
      <c r="B20" s="8" t="s">
        <v>144</v>
      </c>
      <c r="C20" s="4">
        <v>0</v>
      </c>
      <c r="D20" s="4">
        <v>0</v>
      </c>
      <c r="E20" s="4">
        <f t="shared" si="1"/>
        <v>0</v>
      </c>
      <c r="F20" s="4">
        <f t="shared" si="1"/>
        <v>0</v>
      </c>
      <c r="G20" s="4">
        <f>ROUND(SUM(C20:F20)/2,0)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5">
        <f t="shared" si="0"/>
        <v>7</v>
      </c>
      <c r="B21" s="8" t="s">
        <v>143</v>
      </c>
      <c r="C21" s="4">
        <v>0</v>
      </c>
      <c r="D21" s="4">
        <v>0</v>
      </c>
      <c r="E21" s="4">
        <f t="shared" si="1"/>
        <v>0</v>
      </c>
      <c r="F21" s="4">
        <f t="shared" si="1"/>
        <v>0</v>
      </c>
      <c r="G21" s="4">
        <f>ROUND(SUM(C21:F21)/2,0)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5">
        <f t="shared" si="0"/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5" thickBot="1">
      <c r="A23" s="5">
        <f t="shared" si="0"/>
        <v>9</v>
      </c>
      <c r="B23" s="7" t="s">
        <v>142</v>
      </c>
      <c r="C23" s="6">
        <f>SUM(C17:C22)</f>
        <v>59301295</v>
      </c>
      <c r="D23" s="6">
        <f>SUM(D17:D22)</f>
        <v>0</v>
      </c>
      <c r="E23" s="6">
        <f>SUM(E17:E22)</f>
        <v>0</v>
      </c>
      <c r="F23" s="6">
        <f>SUM(F17:F22)</f>
        <v>0</v>
      </c>
      <c r="G23" s="6">
        <f>SUM(G17:G22)</f>
        <v>29650648</v>
      </c>
      <c r="H23" s="4"/>
      <c r="I23" s="6">
        <f>SUM(I17:I22)</f>
        <v>29650647.5</v>
      </c>
      <c r="J23" s="6">
        <f>SUM(J17:J22)</f>
        <v>0</v>
      </c>
      <c r="K23" s="6">
        <f>SUM(K17:K22)</f>
        <v>0</v>
      </c>
      <c r="L23" s="4"/>
      <c r="M23" s="6">
        <f>SUM(M17:M22)</f>
        <v>59301295</v>
      </c>
      <c r="N23" s="6">
        <f>SUM(N17:N22)</f>
        <v>0</v>
      </c>
      <c r="O23" s="6">
        <f>SUM(O17:O22)</f>
        <v>0</v>
      </c>
      <c r="P23" s="4"/>
      <c r="Q23" s="6">
        <f>SUM(Q17:Q22)</f>
        <v>0</v>
      </c>
      <c r="R23" s="6">
        <f>SUM(R17:R22)</f>
        <v>0</v>
      </c>
      <c r="S23" s="6">
        <f>SUM(S17:S22)</f>
        <v>0</v>
      </c>
    </row>
    <row r="24" spans="1:19" ht="13.5" thickTop="1">
      <c r="A24" s="5">
        <f t="shared" si="0"/>
        <v>10</v>
      </c>
      <c r="C24" s="3"/>
      <c r="D24" s="3"/>
      <c r="E24" s="3"/>
      <c r="F24" s="3"/>
      <c r="G24" s="3"/>
      <c r="H24" s="4"/>
      <c r="I24" s="3"/>
      <c r="J24" s="3"/>
      <c r="K24" s="3"/>
      <c r="L24" s="4"/>
      <c r="M24" s="3"/>
      <c r="N24" s="3"/>
      <c r="O24" s="3"/>
      <c r="P24" s="4"/>
      <c r="Q24" s="3"/>
      <c r="R24" s="3"/>
      <c r="S24" s="3"/>
    </row>
    <row r="25" spans="1:19" ht="12.75">
      <c r="A25" s="5">
        <f t="shared" si="0"/>
        <v>11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5">
        <f t="shared" si="0"/>
        <v>12</v>
      </c>
      <c r="B26" s="8" t="s">
        <v>141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5">
        <f t="shared" si="0"/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5">
        <f t="shared" si="0"/>
        <v>14</v>
      </c>
      <c r="B28" s="7" t="s">
        <v>140</v>
      </c>
      <c r="C28" s="4">
        <f>SUM(M28:O28)</f>
        <v>130687909.25</v>
      </c>
      <c r="D28" s="4">
        <f>SUM(Q28:S28)</f>
        <v>38975148.2</v>
      </c>
      <c r="E28" s="4"/>
      <c r="F28" s="4"/>
      <c r="G28" s="4">
        <f aca="true" t="shared" si="2" ref="G28:G33">ROUND(SUM(C28:F28)/2,0)</f>
        <v>84831529</v>
      </c>
      <c r="H28" s="4"/>
      <c r="I28" s="4">
        <f>ROUND((M28+Q28)/2,0)</f>
        <v>43737076</v>
      </c>
      <c r="J28" s="4">
        <f>ROUND((N28+R28)/2,0)</f>
        <v>22202857</v>
      </c>
      <c r="K28" s="4">
        <f>ROUND((O28+S28)/2,0)</f>
        <v>18891596</v>
      </c>
      <c r="L28" s="4"/>
      <c r="M28" s="14">
        <v>87474151</v>
      </c>
      <c r="N28" s="14">
        <v>23635360.25</v>
      </c>
      <c r="O28" s="14">
        <v>19578398</v>
      </c>
      <c r="P28" s="4"/>
      <c r="Q28" s="14">
        <v>0</v>
      </c>
      <c r="R28" s="14">
        <f>20769936.15+418</f>
        <v>20770354.15</v>
      </c>
      <c r="S28" s="14">
        <f>18207677.05-2883</f>
        <v>18204794.05</v>
      </c>
    </row>
    <row r="29" spans="1:19" ht="12.75">
      <c r="A29" s="5">
        <f t="shared" si="0"/>
        <v>15</v>
      </c>
      <c r="B29" s="7" t="s">
        <v>138</v>
      </c>
      <c r="C29" s="4">
        <f aca="true" t="shared" si="3" ref="C29:C39">SUM(M29:O29)</f>
        <v>2913.05</v>
      </c>
      <c r="D29" s="4">
        <f aca="true" t="shared" si="4" ref="D29:D39">SUM(Q29:S29)</f>
        <v>3396.75</v>
      </c>
      <c r="E29" s="4"/>
      <c r="F29" s="4"/>
      <c r="G29" s="4">
        <f t="shared" si="2"/>
        <v>3155</v>
      </c>
      <c r="H29" s="4"/>
      <c r="I29" s="4">
        <f aca="true" t="shared" si="5" ref="I29:K40">ROUND((M29+Q29)/2,0)</f>
        <v>0</v>
      </c>
      <c r="J29" s="4">
        <f t="shared" si="5"/>
        <v>1537</v>
      </c>
      <c r="K29" s="4">
        <f t="shared" si="5"/>
        <v>1618</v>
      </c>
      <c r="L29" s="4"/>
      <c r="M29" s="14">
        <v>0</v>
      </c>
      <c r="N29" s="14">
        <v>1419.25</v>
      </c>
      <c r="O29" s="14">
        <v>1493.8</v>
      </c>
      <c r="P29" s="4"/>
      <c r="Q29" s="14">
        <v>0</v>
      </c>
      <c r="R29" s="14">
        <v>1654.8</v>
      </c>
      <c r="S29" s="14">
        <v>1741.95</v>
      </c>
    </row>
    <row r="30" spans="1:19" ht="12.75">
      <c r="A30" s="5">
        <f t="shared" si="0"/>
        <v>16</v>
      </c>
      <c r="B30" s="7" t="s">
        <v>135</v>
      </c>
      <c r="C30" s="4">
        <f t="shared" si="3"/>
        <v>2538.55</v>
      </c>
      <c r="D30" s="4">
        <f t="shared" si="4"/>
        <v>2538.55</v>
      </c>
      <c r="E30" s="4"/>
      <c r="F30" s="4"/>
      <c r="G30" s="4">
        <f t="shared" si="2"/>
        <v>2539</v>
      </c>
      <c r="H30" s="4"/>
      <c r="I30" s="4">
        <f t="shared" si="5"/>
        <v>0</v>
      </c>
      <c r="J30" s="4">
        <f t="shared" si="5"/>
        <v>2539</v>
      </c>
      <c r="K30" s="4">
        <f t="shared" si="5"/>
        <v>0</v>
      </c>
      <c r="L30" s="4"/>
      <c r="M30" s="14">
        <v>0</v>
      </c>
      <c r="N30" s="14">
        <v>2538.55</v>
      </c>
      <c r="O30" s="14">
        <v>0</v>
      </c>
      <c r="P30" s="4"/>
      <c r="Q30" s="14">
        <v>0</v>
      </c>
      <c r="R30" s="14">
        <v>2538.55</v>
      </c>
      <c r="S30" s="14">
        <v>0</v>
      </c>
    </row>
    <row r="31" spans="1:19" ht="12.75">
      <c r="A31" s="5">
        <f t="shared" si="0"/>
        <v>17</v>
      </c>
      <c r="B31" s="7" t="s">
        <v>137</v>
      </c>
      <c r="C31" s="4">
        <f t="shared" si="3"/>
        <v>4823.7</v>
      </c>
      <c r="D31" s="4">
        <f t="shared" si="4"/>
        <v>5604.55</v>
      </c>
      <c r="E31" s="4"/>
      <c r="F31" s="4"/>
      <c r="G31" s="4">
        <f t="shared" si="2"/>
        <v>5214</v>
      </c>
      <c r="H31" s="4"/>
      <c r="I31" s="4">
        <f t="shared" si="5"/>
        <v>0</v>
      </c>
      <c r="J31" s="4">
        <f t="shared" si="5"/>
        <v>0</v>
      </c>
      <c r="K31" s="4">
        <f t="shared" si="5"/>
        <v>5214</v>
      </c>
      <c r="L31" s="4"/>
      <c r="M31" s="14">
        <v>0</v>
      </c>
      <c r="N31" s="14">
        <v>0</v>
      </c>
      <c r="O31" s="14">
        <v>4823.7</v>
      </c>
      <c r="P31" s="4"/>
      <c r="Q31" s="14">
        <v>0</v>
      </c>
      <c r="R31" s="14">
        <v>0</v>
      </c>
      <c r="S31" s="84">
        <v>5604.55</v>
      </c>
    </row>
    <row r="32" spans="1:19" ht="12.75">
      <c r="A32" s="5">
        <f t="shared" si="0"/>
        <v>18</v>
      </c>
      <c r="B32" s="7" t="s">
        <v>134</v>
      </c>
      <c r="C32" s="4">
        <f t="shared" si="3"/>
        <v>554644.59</v>
      </c>
      <c r="D32" s="4">
        <f t="shared" si="4"/>
        <v>-1870.1999999999998</v>
      </c>
      <c r="E32" s="4"/>
      <c r="F32" s="4"/>
      <c r="G32" s="4">
        <f t="shared" si="2"/>
        <v>276387</v>
      </c>
      <c r="H32" s="4"/>
      <c r="I32" s="4">
        <f t="shared" si="5"/>
        <v>278403</v>
      </c>
      <c r="J32" s="4">
        <f t="shared" si="5"/>
        <v>-720</v>
      </c>
      <c r="K32" s="4">
        <f t="shared" si="5"/>
        <v>-1297</v>
      </c>
      <c r="L32" s="4"/>
      <c r="M32" s="14">
        <v>556806.86</v>
      </c>
      <c r="N32" s="14">
        <v>-761.97</v>
      </c>
      <c r="O32" s="14">
        <v>-1400.3</v>
      </c>
      <c r="P32" s="4"/>
      <c r="Q32" s="14">
        <v>0</v>
      </c>
      <c r="R32" s="14">
        <v>-677.38</v>
      </c>
      <c r="S32" s="14">
        <v>-1192.82</v>
      </c>
    </row>
    <row r="33" spans="1:19" ht="12.75">
      <c r="A33" s="5">
        <f t="shared" si="0"/>
        <v>19</v>
      </c>
      <c r="B33" s="7" t="s">
        <v>132</v>
      </c>
      <c r="C33" s="4">
        <f t="shared" si="3"/>
        <v>7418399</v>
      </c>
      <c r="D33" s="4">
        <f t="shared" si="4"/>
        <v>0</v>
      </c>
      <c r="E33" s="4"/>
      <c r="F33" s="4"/>
      <c r="G33" s="4">
        <f t="shared" si="2"/>
        <v>3709200</v>
      </c>
      <c r="H33" s="4"/>
      <c r="I33" s="4">
        <f t="shared" si="5"/>
        <v>3709200</v>
      </c>
      <c r="J33" s="4">
        <f t="shared" si="5"/>
        <v>0</v>
      </c>
      <c r="K33" s="4">
        <f t="shared" si="5"/>
        <v>0</v>
      </c>
      <c r="L33" s="4"/>
      <c r="M33" s="14">
        <v>7418399</v>
      </c>
      <c r="N33" s="14">
        <v>0</v>
      </c>
      <c r="O33" s="14">
        <v>0</v>
      </c>
      <c r="P33" s="4"/>
      <c r="Q33" s="14">
        <v>0</v>
      </c>
      <c r="R33" s="14">
        <v>0</v>
      </c>
      <c r="S33" s="14">
        <v>0</v>
      </c>
    </row>
    <row r="34" spans="1:19" ht="12.75">
      <c r="A34" s="5">
        <f t="shared" si="0"/>
        <v>20</v>
      </c>
      <c r="B34" s="7" t="s">
        <v>131</v>
      </c>
      <c r="C34" s="4">
        <f t="shared" si="3"/>
        <v>2117415.02</v>
      </c>
      <c r="D34" s="4">
        <f t="shared" si="4"/>
        <v>1897870.62</v>
      </c>
      <c r="E34" s="4"/>
      <c r="F34" s="4"/>
      <c r="G34" s="4">
        <f aca="true" t="shared" si="6" ref="G34:G42">ROUND(SUM(C34:F34)/2,0)</f>
        <v>2007643</v>
      </c>
      <c r="H34" s="4"/>
      <c r="I34" s="4">
        <f t="shared" si="5"/>
        <v>0</v>
      </c>
      <c r="J34" s="4">
        <f t="shared" si="5"/>
        <v>244411</v>
      </c>
      <c r="K34" s="4">
        <f t="shared" si="5"/>
        <v>1763232</v>
      </c>
      <c r="L34" s="4"/>
      <c r="M34" s="14">
        <v>0</v>
      </c>
      <c r="N34" s="14">
        <v>240103.3</v>
      </c>
      <c r="O34" s="14">
        <v>1877311.7200000002</v>
      </c>
      <c r="P34" s="4"/>
      <c r="Q34" s="14">
        <v>0</v>
      </c>
      <c r="R34" s="14">
        <f>398741.5-150023</f>
        <v>248718.5</v>
      </c>
      <c r="S34" s="84">
        <f>2297125.12-647973</f>
        <v>1649152.12</v>
      </c>
    </row>
    <row r="35" spans="1:19" ht="12.75">
      <c r="A35" s="5">
        <f t="shared" si="0"/>
        <v>21</v>
      </c>
      <c r="B35" s="8" t="s">
        <v>129</v>
      </c>
      <c r="C35" s="4">
        <f t="shared" si="3"/>
        <v>307843.69000000006</v>
      </c>
      <c r="D35" s="4">
        <f t="shared" si="4"/>
        <v>252543.72</v>
      </c>
      <c r="E35" s="4"/>
      <c r="F35" s="4"/>
      <c r="G35" s="4">
        <f t="shared" si="6"/>
        <v>280194</v>
      </c>
      <c r="H35" s="4"/>
      <c r="I35" s="4">
        <f t="shared" si="5"/>
        <v>24751</v>
      </c>
      <c r="J35" s="4">
        <f t="shared" si="5"/>
        <v>74315</v>
      </c>
      <c r="K35" s="4">
        <f t="shared" si="5"/>
        <v>181128</v>
      </c>
      <c r="L35" s="4"/>
      <c r="M35" s="14">
        <v>49502.28</v>
      </c>
      <c r="N35" s="14">
        <v>78672.82</v>
      </c>
      <c r="O35" s="14">
        <v>179668.59000000003</v>
      </c>
      <c r="P35" s="4"/>
      <c r="Q35" s="14">
        <v>0</v>
      </c>
      <c r="R35" s="84">
        <f>100009.53-30053</f>
        <v>69956.53</v>
      </c>
      <c r="S35" s="84">
        <f>295103.19-112516</f>
        <v>182587.19</v>
      </c>
    </row>
    <row r="36" spans="1:19" ht="12.75">
      <c r="A36" s="5">
        <f t="shared" si="0"/>
        <v>22</v>
      </c>
      <c r="B36" s="8" t="s">
        <v>120</v>
      </c>
      <c r="C36" s="4">
        <f t="shared" si="3"/>
        <v>2868600</v>
      </c>
      <c r="D36" s="4">
        <f t="shared" si="4"/>
        <v>0</v>
      </c>
      <c r="E36" s="4"/>
      <c r="F36" s="4"/>
      <c r="G36" s="4">
        <f>ROUND(SUM(C36:F36)/2,0)</f>
        <v>1434300</v>
      </c>
      <c r="H36" s="4"/>
      <c r="I36" s="4">
        <f t="shared" si="5"/>
        <v>1434300</v>
      </c>
      <c r="J36" s="4">
        <f t="shared" si="5"/>
        <v>0</v>
      </c>
      <c r="K36" s="4">
        <f t="shared" si="5"/>
        <v>0</v>
      </c>
      <c r="L36" s="4"/>
      <c r="M36" s="14">
        <v>2868600</v>
      </c>
      <c r="N36" s="14">
        <v>0</v>
      </c>
      <c r="O36" s="14">
        <v>0</v>
      </c>
      <c r="P36" s="4"/>
      <c r="Q36" s="14">
        <v>0</v>
      </c>
      <c r="R36" s="84">
        <v>0</v>
      </c>
      <c r="S36" s="84">
        <v>0</v>
      </c>
    </row>
    <row r="37" spans="1:19" ht="12.75">
      <c r="A37" s="5">
        <f t="shared" si="0"/>
        <v>23</v>
      </c>
      <c r="B37" s="8" t="s">
        <v>123</v>
      </c>
      <c r="C37" s="4">
        <f t="shared" si="3"/>
        <v>0.9199999999999999</v>
      </c>
      <c r="D37" s="4">
        <f t="shared" si="4"/>
        <v>0.9199999999999999</v>
      </c>
      <c r="E37" s="4"/>
      <c r="F37" s="4"/>
      <c r="G37" s="4">
        <f t="shared" si="6"/>
        <v>1</v>
      </c>
      <c r="H37" s="4"/>
      <c r="I37" s="4">
        <f t="shared" si="5"/>
        <v>0</v>
      </c>
      <c r="J37" s="4">
        <f t="shared" si="5"/>
        <v>5</v>
      </c>
      <c r="K37" s="4">
        <f t="shared" si="5"/>
        <v>-4</v>
      </c>
      <c r="L37" s="4"/>
      <c r="M37" s="14">
        <v>0</v>
      </c>
      <c r="N37" s="14">
        <v>5.12</v>
      </c>
      <c r="O37" s="14">
        <v>-4.2</v>
      </c>
      <c r="P37" s="4"/>
      <c r="Q37" s="14">
        <v>0</v>
      </c>
      <c r="R37" s="14">
        <v>5.12</v>
      </c>
      <c r="S37" s="14">
        <v>-4.2</v>
      </c>
    </row>
    <row r="38" spans="1:19" ht="12.75">
      <c r="A38" s="5">
        <f t="shared" si="0"/>
        <v>24</v>
      </c>
      <c r="B38" s="7" t="s">
        <v>118</v>
      </c>
      <c r="C38" s="4">
        <f t="shared" si="3"/>
        <v>306000.05000000005</v>
      </c>
      <c r="D38" s="4">
        <f t="shared" si="4"/>
        <v>258745.65</v>
      </c>
      <c r="E38" s="4"/>
      <c r="F38" s="4"/>
      <c r="G38" s="4">
        <f t="shared" si="6"/>
        <v>282373</v>
      </c>
      <c r="H38" s="4"/>
      <c r="I38" s="4">
        <f t="shared" si="5"/>
        <v>0</v>
      </c>
      <c r="J38" s="4">
        <f t="shared" si="5"/>
        <v>28878</v>
      </c>
      <c r="K38" s="4">
        <f t="shared" si="5"/>
        <v>253495</v>
      </c>
      <c r="L38" s="4"/>
      <c r="M38" s="14">
        <v>0</v>
      </c>
      <c r="N38" s="14">
        <v>31987.4</v>
      </c>
      <c r="O38" s="14">
        <v>274012.65</v>
      </c>
      <c r="P38" s="4"/>
      <c r="Q38" s="14">
        <v>0</v>
      </c>
      <c r="R38" s="14">
        <f>29208.9-3441</f>
        <v>25767.9</v>
      </c>
      <c r="S38" s="14">
        <f>315043.75-82066</f>
        <v>232977.75</v>
      </c>
    </row>
    <row r="39" spans="1:19" ht="12.75">
      <c r="A39" s="5">
        <f t="shared" si="0"/>
        <v>25</v>
      </c>
      <c r="B39" s="7" t="s">
        <v>117</v>
      </c>
      <c r="C39" s="4">
        <f t="shared" si="3"/>
        <v>27721.25</v>
      </c>
      <c r="D39" s="4">
        <f t="shared" si="4"/>
        <v>33001.53</v>
      </c>
      <c r="E39" s="4"/>
      <c r="F39" s="4"/>
      <c r="G39" s="4">
        <f t="shared" si="6"/>
        <v>30361</v>
      </c>
      <c r="H39" s="4"/>
      <c r="I39" s="4">
        <f t="shared" si="5"/>
        <v>0</v>
      </c>
      <c r="J39" s="4">
        <f t="shared" si="5"/>
        <v>0</v>
      </c>
      <c r="K39" s="4">
        <f t="shared" si="5"/>
        <v>30361</v>
      </c>
      <c r="L39" s="4"/>
      <c r="M39" s="14">
        <v>0</v>
      </c>
      <c r="N39" s="14">
        <v>0</v>
      </c>
      <c r="O39" s="14">
        <v>27721.25</v>
      </c>
      <c r="P39" s="4"/>
      <c r="Q39" s="14">
        <v>0</v>
      </c>
      <c r="R39" s="14">
        <v>0</v>
      </c>
      <c r="S39" s="14">
        <v>33001.53</v>
      </c>
    </row>
    <row r="40" spans="1:19" ht="12.75">
      <c r="A40" s="5">
        <f t="shared" si="0"/>
        <v>26</v>
      </c>
      <c r="B40" s="7" t="s">
        <v>113</v>
      </c>
      <c r="C40" s="4">
        <f>SUM(M40:O40)</f>
        <v>0</v>
      </c>
      <c r="D40" s="4">
        <f>SUM(Q40:S40)</f>
        <v>0</v>
      </c>
      <c r="E40" s="4"/>
      <c r="F40" s="4"/>
      <c r="G40" s="4">
        <f>ROUND(SUM(C40:F40)/2,0)</f>
        <v>0</v>
      </c>
      <c r="H40" s="4"/>
      <c r="I40" s="4">
        <f t="shared" si="5"/>
        <v>0</v>
      </c>
      <c r="J40" s="4">
        <f t="shared" si="5"/>
        <v>0</v>
      </c>
      <c r="K40" s="4">
        <f t="shared" si="5"/>
        <v>0</v>
      </c>
      <c r="L40" s="4"/>
      <c r="M40" s="14">
        <v>0</v>
      </c>
      <c r="N40" s="14">
        <v>0</v>
      </c>
      <c r="O40" s="14">
        <v>0</v>
      </c>
      <c r="P40" s="4"/>
      <c r="Q40" s="14">
        <v>0</v>
      </c>
      <c r="R40" s="14">
        <v>0</v>
      </c>
      <c r="S40" s="14">
        <v>0</v>
      </c>
    </row>
    <row r="41" spans="1:19" ht="12.75">
      <c r="A41" s="5">
        <f t="shared" si="0"/>
        <v>27</v>
      </c>
      <c r="B41" s="8" t="s">
        <v>105</v>
      </c>
      <c r="C41" s="9">
        <v>5951009.45</v>
      </c>
      <c r="D41" s="9">
        <v>4338397.74</v>
      </c>
      <c r="E41" s="4">
        <f>-C41</f>
        <v>-5951009.45</v>
      </c>
      <c r="F41" s="4">
        <f>-D41</f>
        <v>-4338397.74</v>
      </c>
      <c r="G41" s="4">
        <f t="shared" si="6"/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s="5">
        <f t="shared" si="0"/>
        <v>28</v>
      </c>
      <c r="B42" s="8" t="s">
        <v>104</v>
      </c>
      <c r="C42" s="9">
        <v>2215</v>
      </c>
      <c r="D42" s="9">
        <v>2465</v>
      </c>
      <c r="E42" s="4">
        <f>-C42</f>
        <v>-2215</v>
      </c>
      <c r="F42" s="4">
        <f>-D42</f>
        <v>-2465</v>
      </c>
      <c r="G42" s="4">
        <f t="shared" si="6"/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5">
        <f t="shared" si="0"/>
        <v>29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3.5" thickBot="1">
      <c r="A44" s="5">
        <f t="shared" si="0"/>
        <v>30</v>
      </c>
      <c r="B44" s="8" t="s">
        <v>103</v>
      </c>
      <c r="C44" s="6">
        <f>SUM(C28:C43)</f>
        <v>150252033.51999998</v>
      </c>
      <c r="D44" s="6">
        <f>SUM(D28:D43)</f>
        <v>45767843.029999994</v>
      </c>
      <c r="E44" s="6">
        <f>SUM(E28:E43)</f>
        <v>-5953224.45</v>
      </c>
      <c r="F44" s="6">
        <f>SUM(F28:F43)</f>
        <v>-4340862.74</v>
      </c>
      <c r="G44" s="6">
        <f>SUM(G28:G43)</f>
        <v>92862896</v>
      </c>
      <c r="H44" s="4"/>
      <c r="I44" s="6">
        <f>SUM(I28:I43)</f>
        <v>49183730</v>
      </c>
      <c r="J44" s="6">
        <f>SUM(J28:J43)</f>
        <v>22553822</v>
      </c>
      <c r="K44" s="6">
        <f>SUM(K28:K43)</f>
        <v>21125343</v>
      </c>
      <c r="L44" s="4"/>
      <c r="M44" s="6">
        <f>SUM(M28:M43)</f>
        <v>98367459.14</v>
      </c>
      <c r="N44" s="6">
        <f>SUM(N28:N43)</f>
        <v>23989324.720000003</v>
      </c>
      <c r="O44" s="6">
        <f>SUM(O28:O43)</f>
        <v>21942025.209999997</v>
      </c>
      <c r="P44" s="4"/>
      <c r="Q44" s="6">
        <f>SUM(Q28:Q43)</f>
        <v>0</v>
      </c>
      <c r="R44" s="6">
        <f>SUM(R28:R43)</f>
        <v>21118318.17</v>
      </c>
      <c r="S44" s="6">
        <f>SUM(S28:S43)</f>
        <v>20308662.120000005</v>
      </c>
    </row>
    <row r="45" spans="1:19" ht="13.5" thickTop="1">
      <c r="A45" s="5">
        <f t="shared" si="0"/>
        <v>31</v>
      </c>
      <c r="C45" s="3"/>
      <c r="D45" s="3"/>
      <c r="E45" s="3"/>
      <c r="F45" s="3"/>
      <c r="G45" s="3"/>
      <c r="H45" s="4"/>
      <c r="I45" s="3"/>
      <c r="J45" s="3"/>
      <c r="K45" s="3"/>
      <c r="L45" s="4"/>
      <c r="M45" s="3"/>
      <c r="N45" s="3"/>
      <c r="O45" s="3"/>
      <c r="P45" s="4"/>
      <c r="Q45" s="3"/>
      <c r="R45" s="3"/>
      <c r="S45" s="3"/>
    </row>
    <row r="46" spans="1:19" ht="12.75">
      <c r="A46" s="5">
        <f t="shared" si="0"/>
        <v>32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5">
        <f t="shared" si="0"/>
        <v>33</v>
      </c>
      <c r="B47" s="7" t="s">
        <v>102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5">
        <f t="shared" si="0"/>
        <v>34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5">
        <f t="shared" si="0"/>
        <v>35</v>
      </c>
      <c r="B49" s="7" t="s">
        <v>87</v>
      </c>
      <c r="C49" s="4">
        <f>SUM(M49:O49)</f>
        <v>2203097.05</v>
      </c>
      <c r="D49" s="4">
        <f aca="true" t="shared" si="7" ref="D49:D73">SUM(Q49:S49)</f>
        <v>2250825.34</v>
      </c>
      <c r="E49" s="4"/>
      <c r="F49" s="4"/>
      <c r="G49" s="4">
        <f aca="true" t="shared" si="8" ref="G49:G55">ROUND(SUM(C49:F49)/2,0)</f>
        <v>2226961</v>
      </c>
      <c r="H49" s="4"/>
      <c r="I49" s="4">
        <f>(M49+Q49)/2</f>
        <v>0</v>
      </c>
      <c r="J49" s="4">
        <f>(N49+R49)/2</f>
        <v>287580.605</v>
      </c>
      <c r="K49" s="4">
        <f>(O49+S49)/2</f>
        <v>1939380.5899999999</v>
      </c>
      <c r="L49" s="4"/>
      <c r="M49" s="14">
        <v>0</v>
      </c>
      <c r="N49" s="14">
        <v>289644.38</v>
      </c>
      <c r="O49" s="14">
        <v>1913452.67</v>
      </c>
      <c r="P49" s="4"/>
      <c r="Q49" s="14">
        <v>0</v>
      </c>
      <c r="R49" s="84">
        <v>285516.83</v>
      </c>
      <c r="S49" s="84">
        <v>1965308.51</v>
      </c>
    </row>
    <row r="50" spans="1:19" ht="12.75">
      <c r="A50" s="5">
        <f t="shared" si="0"/>
        <v>36</v>
      </c>
      <c r="B50" s="7" t="s">
        <v>86</v>
      </c>
      <c r="C50" s="4">
        <f aca="true" t="shared" si="9" ref="C50:C73">SUM(M50:O50)</f>
        <v>-2808344</v>
      </c>
      <c r="D50" s="4">
        <f t="shared" si="7"/>
        <v>-2788375.8000000003</v>
      </c>
      <c r="E50" s="4"/>
      <c r="F50" s="4"/>
      <c r="G50" s="4">
        <f t="shared" si="8"/>
        <v>-2798360</v>
      </c>
      <c r="H50" s="4"/>
      <c r="I50" s="4">
        <f aca="true" t="shared" si="10" ref="I50:K73">(M50+Q50)/2</f>
        <v>0</v>
      </c>
      <c r="J50" s="4">
        <f t="shared" si="10"/>
        <v>-242939.55</v>
      </c>
      <c r="K50" s="4">
        <f t="shared" si="10"/>
        <v>-2555420.35</v>
      </c>
      <c r="L50" s="4"/>
      <c r="M50" s="14">
        <v>0</v>
      </c>
      <c r="N50" s="14">
        <v>-235485.25</v>
      </c>
      <c r="O50" s="14">
        <v>-2572858.75</v>
      </c>
      <c r="P50" s="4"/>
      <c r="Q50" s="14">
        <v>0</v>
      </c>
      <c r="R50" s="14">
        <v>-250393.85</v>
      </c>
      <c r="S50" s="14">
        <v>-2537981.95</v>
      </c>
    </row>
    <row r="51" spans="1:19" ht="12.75">
      <c r="A51" s="5">
        <f t="shared" si="0"/>
        <v>37</v>
      </c>
      <c r="B51" s="7" t="s">
        <v>99</v>
      </c>
      <c r="C51" s="4">
        <f t="shared" si="9"/>
        <v>4041723.21</v>
      </c>
      <c r="D51" s="4">
        <f t="shared" si="7"/>
        <v>0</v>
      </c>
      <c r="E51" s="4"/>
      <c r="F51" s="4"/>
      <c r="G51" s="4">
        <f t="shared" si="8"/>
        <v>2020862</v>
      </c>
      <c r="H51" s="4"/>
      <c r="I51" s="4">
        <f t="shared" si="10"/>
        <v>2020861.605</v>
      </c>
      <c r="J51" s="4">
        <f t="shared" si="10"/>
        <v>0</v>
      </c>
      <c r="K51" s="4">
        <f t="shared" si="10"/>
        <v>0</v>
      </c>
      <c r="L51" s="4"/>
      <c r="M51" s="14">
        <v>4041723.21</v>
      </c>
      <c r="N51" s="14">
        <v>0</v>
      </c>
      <c r="O51" s="14">
        <v>0</v>
      </c>
      <c r="P51" s="4"/>
      <c r="Q51" s="14">
        <v>0</v>
      </c>
      <c r="R51" s="14">
        <v>0</v>
      </c>
      <c r="S51" s="14">
        <v>0</v>
      </c>
    </row>
    <row r="52" spans="1:19" ht="12.75">
      <c r="A52" s="5">
        <f t="shared" si="0"/>
        <v>38</v>
      </c>
      <c r="B52" s="7" t="s">
        <v>91</v>
      </c>
      <c r="C52" s="4">
        <f t="shared" si="9"/>
        <v>3253693</v>
      </c>
      <c r="D52" s="4">
        <f t="shared" si="7"/>
        <v>0</v>
      </c>
      <c r="E52" s="4"/>
      <c r="F52" s="4"/>
      <c r="G52" s="4">
        <f t="shared" si="8"/>
        <v>1626847</v>
      </c>
      <c r="H52" s="4"/>
      <c r="I52" s="4">
        <f t="shared" si="10"/>
        <v>1626846.5</v>
      </c>
      <c r="J52" s="4">
        <f t="shared" si="10"/>
        <v>0</v>
      </c>
      <c r="K52" s="4">
        <f t="shared" si="10"/>
        <v>0</v>
      </c>
      <c r="L52" s="4"/>
      <c r="M52" s="14">
        <v>3253693</v>
      </c>
      <c r="N52" s="14">
        <v>0</v>
      </c>
      <c r="O52" s="14">
        <v>0</v>
      </c>
      <c r="P52" s="4"/>
      <c r="Q52" s="14">
        <v>0</v>
      </c>
      <c r="R52" s="14">
        <v>0</v>
      </c>
      <c r="S52" s="14">
        <v>0</v>
      </c>
    </row>
    <row r="53" spans="1:19" ht="12.75">
      <c r="A53" s="5">
        <f t="shared" si="0"/>
        <v>39</v>
      </c>
      <c r="B53" s="7" t="s">
        <v>89</v>
      </c>
      <c r="C53" s="4">
        <f t="shared" si="9"/>
        <v>155828.05</v>
      </c>
      <c r="D53" s="4">
        <f t="shared" si="7"/>
        <v>0</v>
      </c>
      <c r="E53" s="4"/>
      <c r="F53" s="4"/>
      <c r="G53" s="4">
        <f t="shared" si="8"/>
        <v>77914</v>
      </c>
      <c r="H53" s="4"/>
      <c r="I53" s="4">
        <f t="shared" si="10"/>
        <v>77914.025</v>
      </c>
      <c r="J53" s="4">
        <f t="shared" si="10"/>
        <v>0</v>
      </c>
      <c r="K53" s="4">
        <f t="shared" si="10"/>
        <v>0</v>
      </c>
      <c r="L53" s="4"/>
      <c r="M53" s="14">
        <v>155828.05</v>
      </c>
      <c r="N53" s="14">
        <v>0</v>
      </c>
      <c r="O53" s="14">
        <v>0</v>
      </c>
      <c r="P53" s="4"/>
      <c r="Q53" s="14">
        <v>0</v>
      </c>
      <c r="R53" s="14">
        <v>0</v>
      </c>
      <c r="S53" s="14">
        <v>0</v>
      </c>
    </row>
    <row r="54" spans="1:19" ht="12.75">
      <c r="A54" s="5">
        <f t="shared" si="0"/>
        <v>40</v>
      </c>
      <c r="B54" s="8" t="s">
        <v>630</v>
      </c>
      <c r="C54" s="4">
        <f t="shared" si="9"/>
        <v>0</v>
      </c>
      <c r="D54" s="4">
        <f t="shared" si="7"/>
        <v>0</v>
      </c>
      <c r="E54" s="4"/>
      <c r="F54" s="4"/>
      <c r="G54" s="4">
        <f t="shared" si="8"/>
        <v>0</v>
      </c>
      <c r="H54" s="4"/>
      <c r="I54" s="4">
        <f t="shared" si="10"/>
        <v>0</v>
      </c>
      <c r="J54" s="4">
        <f t="shared" si="10"/>
        <v>0</v>
      </c>
      <c r="K54" s="4">
        <f t="shared" si="10"/>
        <v>0</v>
      </c>
      <c r="L54" s="4"/>
      <c r="M54" s="14">
        <v>0</v>
      </c>
      <c r="N54" s="14">
        <v>0</v>
      </c>
      <c r="O54" s="14">
        <v>0</v>
      </c>
      <c r="P54" s="4"/>
      <c r="Q54" s="14">
        <v>0</v>
      </c>
      <c r="R54" s="14">
        <v>0</v>
      </c>
      <c r="S54" s="14">
        <v>0</v>
      </c>
    </row>
    <row r="55" spans="1:19" ht="12.75">
      <c r="A55" s="5">
        <f t="shared" si="0"/>
        <v>41</v>
      </c>
      <c r="B55" s="15" t="s">
        <v>80</v>
      </c>
      <c r="C55" s="4">
        <f t="shared" si="9"/>
        <v>1034786.48</v>
      </c>
      <c r="D55" s="4">
        <f t="shared" si="7"/>
        <v>1171456.4</v>
      </c>
      <c r="E55" s="4"/>
      <c r="F55" s="4"/>
      <c r="G55" s="4">
        <f t="shared" si="8"/>
        <v>1103121</v>
      </c>
      <c r="H55" s="4"/>
      <c r="I55" s="4">
        <f t="shared" si="10"/>
        <v>0</v>
      </c>
      <c r="J55" s="4">
        <f t="shared" si="10"/>
        <v>0</v>
      </c>
      <c r="K55" s="4">
        <f t="shared" si="10"/>
        <v>1103121.44</v>
      </c>
      <c r="L55" s="4"/>
      <c r="M55" s="14">
        <v>0</v>
      </c>
      <c r="N55" s="14">
        <v>0</v>
      </c>
      <c r="O55" s="14">
        <v>1034786.48</v>
      </c>
      <c r="P55" s="4"/>
      <c r="Q55" s="14">
        <v>0</v>
      </c>
      <c r="R55" s="14">
        <v>0</v>
      </c>
      <c r="S55" s="14">
        <v>1171456.4</v>
      </c>
    </row>
    <row r="56" spans="1:19" ht="12.75">
      <c r="A56" s="5">
        <f t="shared" si="0"/>
        <v>42</v>
      </c>
      <c r="B56" s="15" t="s">
        <v>76</v>
      </c>
      <c r="C56" s="4">
        <f t="shared" si="9"/>
        <v>891390</v>
      </c>
      <c r="D56" s="4">
        <f t="shared" si="7"/>
        <v>0</v>
      </c>
      <c r="E56" s="4"/>
      <c r="F56" s="4"/>
      <c r="G56" s="4">
        <f aca="true" t="shared" si="11" ref="G56:G68">ROUND(SUM(C56:F56)/2,0)</f>
        <v>445695</v>
      </c>
      <c r="H56" s="4"/>
      <c r="I56" s="4">
        <f t="shared" si="10"/>
        <v>445695</v>
      </c>
      <c r="J56" s="4">
        <f t="shared" si="10"/>
        <v>0</v>
      </c>
      <c r="K56" s="4">
        <f t="shared" si="10"/>
        <v>0</v>
      </c>
      <c r="L56" s="4"/>
      <c r="M56" s="14">
        <v>891390</v>
      </c>
      <c r="N56" s="14">
        <v>0</v>
      </c>
      <c r="O56" s="14">
        <v>0</v>
      </c>
      <c r="P56" s="4"/>
      <c r="Q56" s="14">
        <v>0</v>
      </c>
      <c r="R56" s="14">
        <v>0</v>
      </c>
      <c r="S56" s="14">
        <v>0</v>
      </c>
    </row>
    <row r="57" spans="1:19" ht="12.75">
      <c r="A57" s="5">
        <f t="shared" si="0"/>
        <v>43</v>
      </c>
      <c r="B57" s="15" t="s">
        <v>77</v>
      </c>
      <c r="C57" s="4">
        <f t="shared" si="9"/>
        <v>108000</v>
      </c>
      <c r="D57" s="4">
        <f t="shared" si="7"/>
        <v>0</v>
      </c>
      <c r="E57" s="4"/>
      <c r="F57" s="4"/>
      <c r="G57" s="4">
        <f t="shared" si="11"/>
        <v>54000</v>
      </c>
      <c r="H57" s="4"/>
      <c r="I57" s="4">
        <f t="shared" si="10"/>
        <v>54000</v>
      </c>
      <c r="J57" s="4">
        <f t="shared" si="10"/>
        <v>0</v>
      </c>
      <c r="K57" s="4">
        <f t="shared" si="10"/>
        <v>0</v>
      </c>
      <c r="L57" s="4"/>
      <c r="M57" s="14">
        <v>108000</v>
      </c>
      <c r="N57" s="14">
        <v>0</v>
      </c>
      <c r="O57" s="14">
        <v>0</v>
      </c>
      <c r="P57" s="4"/>
      <c r="Q57" s="14">
        <v>0</v>
      </c>
      <c r="R57" s="14">
        <v>0</v>
      </c>
      <c r="S57" s="14">
        <v>0</v>
      </c>
    </row>
    <row r="58" spans="1:19" ht="12.75">
      <c r="A58" s="5">
        <f t="shared" si="0"/>
        <v>44</v>
      </c>
      <c r="B58" s="15" t="s">
        <v>75</v>
      </c>
      <c r="C58" s="4">
        <f t="shared" si="9"/>
        <v>-218988</v>
      </c>
      <c r="D58" s="4">
        <f t="shared" si="7"/>
        <v>0</v>
      </c>
      <c r="E58" s="4"/>
      <c r="F58" s="4"/>
      <c r="G58" s="4">
        <f t="shared" si="11"/>
        <v>-109494</v>
      </c>
      <c r="H58" s="4"/>
      <c r="I58" s="4">
        <f t="shared" si="10"/>
        <v>-109494</v>
      </c>
      <c r="J58" s="4">
        <f t="shared" si="10"/>
        <v>0</v>
      </c>
      <c r="K58" s="4">
        <f t="shared" si="10"/>
        <v>0</v>
      </c>
      <c r="L58" s="4"/>
      <c r="M58" s="14">
        <v>-218988</v>
      </c>
      <c r="N58" s="14">
        <v>0</v>
      </c>
      <c r="O58" s="14">
        <v>0</v>
      </c>
      <c r="P58" s="4"/>
      <c r="Q58" s="14">
        <v>0</v>
      </c>
      <c r="R58" s="14">
        <v>0</v>
      </c>
      <c r="S58" s="14">
        <v>0</v>
      </c>
    </row>
    <row r="59" spans="1:19" ht="12.75">
      <c r="A59" s="5">
        <f t="shared" si="0"/>
        <v>45</v>
      </c>
      <c r="B59" s="15" t="s">
        <v>74</v>
      </c>
      <c r="C59" s="4">
        <f t="shared" si="9"/>
        <v>-8301</v>
      </c>
      <c r="D59" s="4">
        <f t="shared" si="7"/>
        <v>0</v>
      </c>
      <c r="E59" s="4"/>
      <c r="F59" s="4"/>
      <c r="G59" s="4">
        <f t="shared" si="11"/>
        <v>-4151</v>
      </c>
      <c r="H59" s="4"/>
      <c r="I59" s="4">
        <f t="shared" si="10"/>
        <v>-4150.5</v>
      </c>
      <c r="J59" s="4">
        <f t="shared" si="10"/>
        <v>0</v>
      </c>
      <c r="K59" s="4">
        <f t="shared" si="10"/>
        <v>0</v>
      </c>
      <c r="L59" s="4"/>
      <c r="M59" s="14">
        <v>-8301</v>
      </c>
      <c r="N59" s="14">
        <v>0</v>
      </c>
      <c r="O59" s="14">
        <v>0</v>
      </c>
      <c r="P59" s="4"/>
      <c r="Q59" s="14">
        <v>0</v>
      </c>
      <c r="R59" s="14">
        <v>0</v>
      </c>
      <c r="S59" s="14">
        <v>0</v>
      </c>
    </row>
    <row r="60" spans="1:19" ht="12.75">
      <c r="A60" s="5">
        <f t="shared" si="0"/>
        <v>46</v>
      </c>
      <c r="B60" s="15" t="s">
        <v>233</v>
      </c>
      <c r="C60" s="4">
        <f t="shared" si="9"/>
        <v>87239</v>
      </c>
      <c r="D60" s="4">
        <f t="shared" si="7"/>
        <v>0</v>
      </c>
      <c r="E60" s="4"/>
      <c r="F60" s="4"/>
      <c r="G60" s="4">
        <f t="shared" si="11"/>
        <v>43620</v>
      </c>
      <c r="H60" s="4"/>
      <c r="I60" s="4">
        <f t="shared" si="10"/>
        <v>43619.5</v>
      </c>
      <c r="J60" s="4">
        <f t="shared" si="10"/>
        <v>0</v>
      </c>
      <c r="K60" s="4">
        <f t="shared" si="10"/>
        <v>0</v>
      </c>
      <c r="L60" s="4"/>
      <c r="M60" s="14">
        <v>87239</v>
      </c>
      <c r="N60" s="14">
        <v>0</v>
      </c>
      <c r="O60" s="14">
        <v>0</v>
      </c>
      <c r="P60" s="4"/>
      <c r="Q60" s="14">
        <v>0</v>
      </c>
      <c r="R60" s="14">
        <v>0</v>
      </c>
      <c r="S60" s="14">
        <v>0</v>
      </c>
    </row>
    <row r="61" spans="1:19" ht="12.75">
      <c r="A61" s="5">
        <f t="shared" si="0"/>
        <v>47</v>
      </c>
      <c r="B61" s="7" t="s">
        <v>70</v>
      </c>
      <c r="C61" s="4">
        <f t="shared" si="9"/>
        <v>0</v>
      </c>
      <c r="D61" s="4">
        <f t="shared" si="7"/>
        <v>0</v>
      </c>
      <c r="E61" s="4"/>
      <c r="F61" s="4"/>
      <c r="G61" s="4">
        <f t="shared" si="11"/>
        <v>0</v>
      </c>
      <c r="H61" s="4"/>
      <c r="I61" s="4">
        <f t="shared" si="10"/>
        <v>0</v>
      </c>
      <c r="J61" s="4">
        <f t="shared" si="10"/>
        <v>0</v>
      </c>
      <c r="K61" s="4">
        <f t="shared" si="10"/>
        <v>0</v>
      </c>
      <c r="L61" s="4"/>
      <c r="M61" s="14">
        <v>0</v>
      </c>
      <c r="N61" s="14">
        <v>0</v>
      </c>
      <c r="O61" s="14">
        <v>0</v>
      </c>
      <c r="P61" s="4"/>
      <c r="Q61" s="14">
        <v>0</v>
      </c>
      <c r="R61" s="14">
        <v>0</v>
      </c>
      <c r="S61" s="14">
        <v>0</v>
      </c>
    </row>
    <row r="62" spans="1:19" ht="12.75">
      <c r="A62" s="5">
        <f t="shared" si="0"/>
        <v>48</v>
      </c>
      <c r="B62" s="7" t="s">
        <v>69</v>
      </c>
      <c r="C62" s="4">
        <f t="shared" si="9"/>
        <v>2808344</v>
      </c>
      <c r="D62" s="4">
        <f t="shared" si="7"/>
        <v>2788375.8000000003</v>
      </c>
      <c r="E62" s="4"/>
      <c r="F62" s="4"/>
      <c r="G62" s="4">
        <f t="shared" si="11"/>
        <v>2798360</v>
      </c>
      <c r="H62" s="4"/>
      <c r="I62" s="4">
        <f t="shared" si="10"/>
        <v>0</v>
      </c>
      <c r="J62" s="4">
        <f t="shared" si="10"/>
        <v>242939.55</v>
      </c>
      <c r="K62" s="4">
        <f t="shared" si="10"/>
        <v>2555420.35</v>
      </c>
      <c r="L62" s="4"/>
      <c r="M62" s="14">
        <v>0</v>
      </c>
      <c r="N62" s="14">
        <v>235485.25</v>
      </c>
      <c r="O62" s="14">
        <v>2572858.75</v>
      </c>
      <c r="P62" s="4"/>
      <c r="Q62" s="14">
        <v>0</v>
      </c>
      <c r="R62" s="84">
        <v>250393.85</v>
      </c>
      <c r="S62" s="14">
        <v>2537981.95</v>
      </c>
    </row>
    <row r="63" spans="1:19" ht="12.75">
      <c r="A63" s="5">
        <f t="shared" si="0"/>
        <v>49</v>
      </c>
      <c r="B63" s="7" t="s">
        <v>61</v>
      </c>
      <c r="C63" s="4">
        <f t="shared" si="9"/>
        <v>74131.09</v>
      </c>
      <c r="D63" s="4">
        <f t="shared" si="7"/>
        <v>107078.24</v>
      </c>
      <c r="E63" s="4"/>
      <c r="F63" s="4"/>
      <c r="G63" s="4">
        <f t="shared" si="11"/>
        <v>90605</v>
      </c>
      <c r="H63" s="4"/>
      <c r="I63" s="4">
        <f t="shared" si="10"/>
        <v>0</v>
      </c>
      <c r="J63" s="4">
        <f t="shared" si="10"/>
        <v>0</v>
      </c>
      <c r="K63" s="4">
        <f t="shared" si="10"/>
        <v>90604.66500000001</v>
      </c>
      <c r="L63" s="4"/>
      <c r="M63" s="14">
        <v>0</v>
      </c>
      <c r="N63" s="14">
        <v>0</v>
      </c>
      <c r="O63" s="14">
        <v>74131.09</v>
      </c>
      <c r="P63" s="4"/>
      <c r="Q63" s="14">
        <v>0</v>
      </c>
      <c r="R63" s="84">
        <v>0</v>
      </c>
      <c r="S63" s="14">
        <v>107078.24</v>
      </c>
    </row>
    <row r="64" spans="1:19" ht="12.75">
      <c r="A64" s="5">
        <f t="shared" si="0"/>
        <v>50</v>
      </c>
      <c r="B64" s="7" t="s">
        <v>47</v>
      </c>
      <c r="C64" s="4">
        <f t="shared" si="9"/>
        <v>388970.56</v>
      </c>
      <c r="D64" s="4">
        <f t="shared" si="7"/>
        <v>474122.95</v>
      </c>
      <c r="E64" s="4"/>
      <c r="F64" s="4"/>
      <c r="G64" s="4">
        <f t="shared" si="11"/>
        <v>431547</v>
      </c>
      <c r="H64" s="4"/>
      <c r="I64" s="4">
        <f t="shared" si="10"/>
        <v>0</v>
      </c>
      <c r="J64" s="4">
        <f t="shared" si="10"/>
        <v>0</v>
      </c>
      <c r="K64" s="4">
        <f t="shared" si="10"/>
        <v>431546.755</v>
      </c>
      <c r="L64" s="4"/>
      <c r="M64" s="14">
        <v>0</v>
      </c>
      <c r="N64" s="14">
        <v>0</v>
      </c>
      <c r="O64" s="14">
        <v>388970.56</v>
      </c>
      <c r="P64" s="4"/>
      <c r="Q64" s="14">
        <v>0</v>
      </c>
      <c r="R64" s="84">
        <v>0</v>
      </c>
      <c r="S64" s="14">
        <v>474122.95</v>
      </c>
    </row>
    <row r="65" spans="1:19" ht="12.75">
      <c r="A65" s="5">
        <f t="shared" si="0"/>
        <v>51</v>
      </c>
      <c r="B65" s="7" t="s">
        <v>46</v>
      </c>
      <c r="C65" s="4">
        <f t="shared" si="9"/>
        <v>28221.31</v>
      </c>
      <c r="D65" s="4">
        <f t="shared" si="7"/>
        <v>6757.25</v>
      </c>
      <c r="E65" s="4"/>
      <c r="F65" s="4"/>
      <c r="G65" s="4">
        <f t="shared" si="11"/>
        <v>17489</v>
      </c>
      <c r="H65" s="4"/>
      <c r="I65" s="4">
        <f t="shared" si="10"/>
        <v>0</v>
      </c>
      <c r="J65" s="4">
        <f t="shared" si="10"/>
        <v>0</v>
      </c>
      <c r="K65" s="4">
        <f t="shared" si="10"/>
        <v>17489.28</v>
      </c>
      <c r="L65" s="4"/>
      <c r="M65" s="14">
        <v>0</v>
      </c>
      <c r="N65" s="14">
        <v>0</v>
      </c>
      <c r="O65" s="14">
        <v>28221.31</v>
      </c>
      <c r="P65" s="4"/>
      <c r="Q65" s="14">
        <v>0</v>
      </c>
      <c r="R65" s="84">
        <v>0</v>
      </c>
      <c r="S65" s="14">
        <v>6757.25</v>
      </c>
    </row>
    <row r="66" spans="1:19" ht="12.75">
      <c r="A66" s="5">
        <f t="shared" si="0"/>
        <v>52</v>
      </c>
      <c r="B66" s="7" t="s">
        <v>631</v>
      </c>
      <c r="C66" s="4">
        <f t="shared" si="9"/>
        <v>6753203.45</v>
      </c>
      <c r="D66" s="4">
        <f t="shared" si="7"/>
        <v>0</v>
      </c>
      <c r="E66" s="4"/>
      <c r="F66" s="4"/>
      <c r="G66" s="4">
        <f t="shared" si="11"/>
        <v>3376602</v>
      </c>
      <c r="H66" s="4"/>
      <c r="I66" s="4">
        <f t="shared" si="10"/>
        <v>3376601.725</v>
      </c>
      <c r="J66" s="4">
        <f t="shared" si="10"/>
        <v>0</v>
      </c>
      <c r="K66" s="4">
        <f t="shared" si="10"/>
        <v>0</v>
      </c>
      <c r="L66" s="4"/>
      <c r="M66" s="14">
        <v>6753203.45</v>
      </c>
      <c r="N66" s="14">
        <v>0</v>
      </c>
      <c r="O66" s="14">
        <v>0</v>
      </c>
      <c r="P66" s="4"/>
      <c r="Q66" s="14">
        <v>0</v>
      </c>
      <c r="R66" s="84">
        <v>0</v>
      </c>
      <c r="S66" s="14">
        <v>0</v>
      </c>
    </row>
    <row r="67" spans="1:19" ht="12.75">
      <c r="A67" s="5">
        <f t="shared" si="0"/>
        <v>53</v>
      </c>
      <c r="B67" s="7" t="s">
        <v>30</v>
      </c>
      <c r="C67" s="4">
        <f t="shared" si="9"/>
        <v>-12804.75</v>
      </c>
      <c r="D67" s="4">
        <f t="shared" si="7"/>
        <v>0</v>
      </c>
      <c r="E67" s="4"/>
      <c r="F67" s="4"/>
      <c r="G67" s="4">
        <f t="shared" si="11"/>
        <v>-6402</v>
      </c>
      <c r="H67" s="4"/>
      <c r="I67" s="4">
        <f t="shared" si="10"/>
        <v>0</v>
      </c>
      <c r="J67" s="4">
        <f t="shared" si="10"/>
        <v>0</v>
      </c>
      <c r="K67" s="4">
        <f t="shared" si="10"/>
        <v>-6402.375</v>
      </c>
      <c r="L67" s="4"/>
      <c r="M67" s="14">
        <v>0</v>
      </c>
      <c r="N67" s="14">
        <v>0</v>
      </c>
      <c r="O67" s="14">
        <v>-12804.75</v>
      </c>
      <c r="P67" s="4"/>
      <c r="Q67" s="14">
        <v>0</v>
      </c>
      <c r="R67" s="84">
        <v>0</v>
      </c>
      <c r="S67" s="14">
        <v>0</v>
      </c>
    </row>
    <row r="68" spans="1:19" ht="12.75">
      <c r="A68" s="5">
        <f t="shared" si="0"/>
        <v>54</v>
      </c>
      <c r="B68" s="7" t="s">
        <v>23</v>
      </c>
      <c r="C68" s="4">
        <f t="shared" si="9"/>
        <v>144475.32</v>
      </c>
      <c r="D68" s="4">
        <f t="shared" si="7"/>
        <v>134223.82</v>
      </c>
      <c r="E68" s="4"/>
      <c r="F68" s="4"/>
      <c r="G68" s="4">
        <f t="shared" si="11"/>
        <v>139350</v>
      </c>
      <c r="H68" s="4"/>
      <c r="I68" s="4">
        <f t="shared" si="10"/>
        <v>0</v>
      </c>
      <c r="J68" s="4">
        <f t="shared" si="10"/>
        <v>425.425</v>
      </c>
      <c r="K68" s="4">
        <f t="shared" si="10"/>
        <v>138924.14500000002</v>
      </c>
      <c r="L68" s="4"/>
      <c r="M68" s="14">
        <v>0</v>
      </c>
      <c r="N68" s="14">
        <v>850.85</v>
      </c>
      <c r="O68" s="14">
        <v>143624.47</v>
      </c>
      <c r="P68" s="4"/>
      <c r="Q68" s="14">
        <v>0</v>
      </c>
      <c r="R68" s="14">
        <v>0</v>
      </c>
      <c r="S68" s="14">
        <v>134223.82</v>
      </c>
    </row>
    <row r="69" spans="1:19" ht="12.75">
      <c r="A69" s="5">
        <f t="shared" si="0"/>
        <v>55</v>
      </c>
      <c r="B69" s="8" t="s">
        <v>22</v>
      </c>
      <c r="C69" s="4">
        <f t="shared" si="9"/>
        <v>641115.1799999999</v>
      </c>
      <c r="D69" s="4">
        <f t="shared" si="7"/>
        <v>402711.57999999996</v>
      </c>
      <c r="E69" s="4"/>
      <c r="F69" s="4"/>
      <c r="G69" s="4">
        <f aca="true" t="shared" si="12" ref="G69:G76">ROUND(SUM(C69:F69)/2,0)</f>
        <v>521913</v>
      </c>
      <c r="H69" s="4"/>
      <c r="I69" s="4">
        <f t="shared" si="10"/>
        <v>96250</v>
      </c>
      <c r="J69" s="4">
        <f t="shared" si="10"/>
        <v>145571.22999999998</v>
      </c>
      <c r="K69" s="4">
        <f t="shared" si="10"/>
        <v>280092.15</v>
      </c>
      <c r="L69" s="4"/>
      <c r="M69" s="14">
        <v>192500</v>
      </c>
      <c r="N69" s="14">
        <v>146256.93</v>
      </c>
      <c r="O69" s="14">
        <v>302358.25</v>
      </c>
      <c r="P69" s="4"/>
      <c r="Q69" s="14">
        <v>0</v>
      </c>
      <c r="R69" s="14">
        <f>18057.53+126828</f>
        <v>144885.53</v>
      </c>
      <c r="S69" s="14">
        <f>11175.05+246651</f>
        <v>257826.05</v>
      </c>
    </row>
    <row r="70" spans="1:19" ht="12.75">
      <c r="A70" s="5">
        <f t="shared" si="0"/>
        <v>56</v>
      </c>
      <c r="B70" s="8" t="s">
        <v>391</v>
      </c>
      <c r="C70" s="4">
        <f t="shared" si="9"/>
        <v>1244</v>
      </c>
      <c r="D70" s="4">
        <f t="shared" si="7"/>
        <v>1244</v>
      </c>
      <c r="E70" s="4"/>
      <c r="F70" s="4"/>
      <c r="G70" s="4">
        <f t="shared" si="12"/>
        <v>1244</v>
      </c>
      <c r="H70" s="4"/>
      <c r="I70" s="4">
        <f t="shared" si="10"/>
        <v>0</v>
      </c>
      <c r="J70" s="4">
        <f t="shared" si="10"/>
        <v>1244</v>
      </c>
      <c r="K70" s="4">
        <f t="shared" si="10"/>
        <v>0</v>
      </c>
      <c r="L70" s="4"/>
      <c r="M70" s="14">
        <v>0</v>
      </c>
      <c r="N70" s="14">
        <v>1244</v>
      </c>
      <c r="O70" s="14">
        <v>0</v>
      </c>
      <c r="P70" s="4"/>
      <c r="Q70" s="14">
        <v>0</v>
      </c>
      <c r="R70" s="14">
        <v>1244</v>
      </c>
      <c r="S70" s="14">
        <v>0</v>
      </c>
    </row>
    <row r="71" spans="1:19" ht="12.75">
      <c r="A71" s="5">
        <f t="shared" si="0"/>
        <v>57</v>
      </c>
      <c r="B71" s="8" t="s">
        <v>20</v>
      </c>
      <c r="C71" s="4">
        <f t="shared" si="9"/>
        <v>-0.25</v>
      </c>
      <c r="D71" s="4">
        <f t="shared" si="7"/>
        <v>-0.25</v>
      </c>
      <c r="E71" s="4"/>
      <c r="F71" s="4"/>
      <c r="G71" s="4">
        <f t="shared" si="12"/>
        <v>0</v>
      </c>
      <c r="H71" s="4"/>
      <c r="I71" s="4">
        <f t="shared" si="10"/>
        <v>0</v>
      </c>
      <c r="J71" s="4">
        <f t="shared" si="10"/>
        <v>0</v>
      </c>
      <c r="K71" s="4">
        <f t="shared" si="10"/>
        <v>-0.25</v>
      </c>
      <c r="L71" s="4"/>
      <c r="M71" s="14">
        <v>0</v>
      </c>
      <c r="N71" s="14">
        <v>0</v>
      </c>
      <c r="O71" s="14">
        <v>-0.25</v>
      </c>
      <c r="P71" s="4"/>
      <c r="Q71" s="14">
        <v>0</v>
      </c>
      <c r="R71" s="14">
        <v>0</v>
      </c>
      <c r="S71" s="14">
        <v>-0.25</v>
      </c>
    </row>
    <row r="72" spans="1:19" ht="12.75">
      <c r="A72" s="5">
        <f t="shared" si="0"/>
        <v>58</v>
      </c>
      <c r="B72" s="8" t="s">
        <v>19</v>
      </c>
      <c r="C72" s="4">
        <f t="shared" si="9"/>
        <v>122023.17</v>
      </c>
      <c r="D72" s="4">
        <f t="shared" si="7"/>
        <v>135581.27</v>
      </c>
      <c r="E72" s="4"/>
      <c r="F72" s="4"/>
      <c r="G72" s="4">
        <f t="shared" si="12"/>
        <v>128802</v>
      </c>
      <c r="H72" s="4"/>
      <c r="I72" s="4">
        <f t="shared" si="10"/>
        <v>0</v>
      </c>
      <c r="J72" s="4">
        <f t="shared" si="10"/>
        <v>7086.780000000001</v>
      </c>
      <c r="K72" s="4">
        <f t="shared" si="10"/>
        <v>121715.44</v>
      </c>
      <c r="L72" s="4"/>
      <c r="M72" s="14">
        <v>0</v>
      </c>
      <c r="N72" s="14">
        <v>6713.8</v>
      </c>
      <c r="O72" s="14">
        <v>115309.37</v>
      </c>
      <c r="P72" s="4"/>
      <c r="Q72" s="14">
        <v>0</v>
      </c>
      <c r="R72" s="14">
        <v>7459.76</v>
      </c>
      <c r="S72" s="14">
        <v>128121.51</v>
      </c>
    </row>
    <row r="73" spans="1:19" ht="12.75">
      <c r="A73" s="5">
        <f t="shared" si="0"/>
        <v>59</v>
      </c>
      <c r="B73" s="8" t="s">
        <v>18</v>
      </c>
      <c r="C73" s="4">
        <f t="shared" si="9"/>
        <v>-0.45</v>
      </c>
      <c r="D73" s="4">
        <f t="shared" si="7"/>
        <v>195213.03</v>
      </c>
      <c r="E73" s="4"/>
      <c r="F73" s="4"/>
      <c r="G73" s="4">
        <f t="shared" si="12"/>
        <v>97606</v>
      </c>
      <c r="H73" s="4"/>
      <c r="I73" s="4">
        <f t="shared" si="10"/>
        <v>0</v>
      </c>
      <c r="J73" s="4">
        <f t="shared" si="10"/>
        <v>0</v>
      </c>
      <c r="K73" s="4">
        <f t="shared" si="10"/>
        <v>97606.29</v>
      </c>
      <c r="L73" s="4"/>
      <c r="M73" s="14">
        <v>0</v>
      </c>
      <c r="N73" s="14">
        <v>0</v>
      </c>
      <c r="O73" s="14">
        <v>-0.45</v>
      </c>
      <c r="P73" s="4"/>
      <c r="Q73" s="14">
        <v>0</v>
      </c>
      <c r="R73" s="14">
        <v>0</v>
      </c>
      <c r="S73" s="14">
        <v>195213.03</v>
      </c>
    </row>
    <row r="74" spans="1:19" ht="12.75">
      <c r="A74" s="5">
        <f t="shared" si="0"/>
        <v>60</v>
      </c>
      <c r="B74" s="8" t="s">
        <v>16</v>
      </c>
      <c r="C74" s="9">
        <v>45950</v>
      </c>
      <c r="D74" s="9">
        <v>0</v>
      </c>
      <c r="E74" s="4">
        <f aca="true" t="shared" si="13" ref="E74:F76">-C74</f>
        <v>-45950</v>
      </c>
      <c r="F74" s="4">
        <f t="shared" si="13"/>
        <v>0</v>
      </c>
      <c r="G74" s="4">
        <f t="shared" si="12"/>
        <v>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5">
        <f t="shared" si="0"/>
        <v>61</v>
      </c>
      <c r="B75" s="1" t="s">
        <v>15</v>
      </c>
      <c r="C75" s="9">
        <f>17989902.33-37898.35</f>
        <v>17952003.979999997</v>
      </c>
      <c r="D75" s="9">
        <v>6515160.47</v>
      </c>
      <c r="E75" s="4">
        <f t="shared" si="13"/>
        <v>-17952003.979999997</v>
      </c>
      <c r="F75" s="4">
        <f t="shared" si="13"/>
        <v>-6515160.47</v>
      </c>
      <c r="G75" s="4">
        <f t="shared" si="12"/>
        <v>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5">
        <f t="shared" si="0"/>
        <v>62</v>
      </c>
      <c r="B76" s="8" t="s">
        <v>11</v>
      </c>
      <c r="C76" s="9">
        <v>0</v>
      </c>
      <c r="D76" s="9">
        <v>0</v>
      </c>
      <c r="E76" s="4">
        <f t="shared" si="13"/>
        <v>0</v>
      </c>
      <c r="F76" s="4">
        <f t="shared" si="13"/>
        <v>0</v>
      </c>
      <c r="G76" s="4">
        <f t="shared" si="12"/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5">
        <f t="shared" si="0"/>
        <v>63</v>
      </c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3.5" thickBot="1">
      <c r="A78" s="5">
        <f t="shared" si="0"/>
        <v>64</v>
      </c>
      <c r="C78" s="6">
        <f>SUM(C49:C77)</f>
        <v>37687000.4</v>
      </c>
      <c r="D78" s="6">
        <f>SUM(D49:D77)</f>
        <v>11394374.1</v>
      </c>
      <c r="E78" s="6">
        <f>SUM(E49:E77)</f>
        <v>-17997953.979999997</v>
      </c>
      <c r="F78" s="6">
        <f>SUM(F49:F77)</f>
        <v>-6515160.47</v>
      </c>
      <c r="G78" s="6">
        <f>SUM(G49:G77)</f>
        <v>12284131</v>
      </c>
      <c r="H78" s="4"/>
      <c r="I78" s="6">
        <f>SUM(I49:I77)</f>
        <v>7628143.855</v>
      </c>
      <c r="J78" s="6">
        <f>SUM(J49:J77)</f>
        <v>441908.04</v>
      </c>
      <c r="K78" s="6">
        <f>SUM(K49:K77)</f>
        <v>4214078.129999999</v>
      </c>
      <c r="L78" s="4"/>
      <c r="M78" s="6">
        <f>SUM(M49:M77)</f>
        <v>15256287.71</v>
      </c>
      <c r="N78" s="6">
        <f>SUM(N49:N77)</f>
        <v>444709.95999999996</v>
      </c>
      <c r="O78" s="6">
        <f>SUM(O49:O77)</f>
        <v>3988048.75</v>
      </c>
      <c r="P78" s="4"/>
      <c r="Q78" s="6">
        <f>SUM(Q49:Q77)</f>
        <v>0</v>
      </c>
      <c r="R78" s="6">
        <f>SUM(R49:R77)</f>
        <v>439106.12</v>
      </c>
      <c r="S78" s="6">
        <f>SUM(S49:S77)</f>
        <v>4440107.510000001</v>
      </c>
    </row>
    <row r="79" spans="1:19" ht="13.5" thickTop="1">
      <c r="A79" s="5">
        <f t="shared" si="0"/>
        <v>65</v>
      </c>
      <c r="C79" s="3"/>
      <c r="D79" s="3"/>
      <c r="E79" s="3"/>
      <c r="F79" s="3"/>
      <c r="G79" s="3"/>
      <c r="H79" s="4"/>
      <c r="I79" s="3"/>
      <c r="J79" s="3"/>
      <c r="K79" s="3"/>
      <c r="L79" s="4"/>
      <c r="M79" s="3"/>
      <c r="N79" s="3"/>
      <c r="O79" s="3"/>
      <c r="P79" s="4"/>
      <c r="Q79" s="3"/>
      <c r="R79" s="3"/>
      <c r="S79" s="3"/>
    </row>
    <row r="80" spans="1:19" ht="12.75">
      <c r="A80" s="5">
        <f aca="true" t="shared" si="14" ref="A80:A101">A79+1</f>
        <v>66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5">
        <f t="shared" si="14"/>
        <v>67</v>
      </c>
      <c r="B81" s="7" t="s">
        <v>10</v>
      </c>
      <c r="C81" s="4">
        <f>SUM(M81:O81)</f>
        <v>10535276</v>
      </c>
      <c r="D81" s="4">
        <f>SUM(Q81:S81)</f>
        <v>0</v>
      </c>
      <c r="E81" s="4"/>
      <c r="F81" s="4"/>
      <c r="G81" s="4">
        <f>ROUND(SUM(C81:F81)/2,0)</f>
        <v>5267638</v>
      </c>
      <c r="H81" s="4"/>
      <c r="I81" s="4">
        <f>(M81+Q81)/2</f>
        <v>5267638</v>
      </c>
      <c r="J81" s="4">
        <f>(N81+R81)/2</f>
        <v>0</v>
      </c>
      <c r="K81" s="4">
        <f>(O81+S81)/2</f>
        <v>0</v>
      </c>
      <c r="L81" s="4"/>
      <c r="M81" s="9">
        <v>10535276</v>
      </c>
      <c r="N81" s="9">
        <v>0</v>
      </c>
      <c r="O81" s="9">
        <v>0</v>
      </c>
      <c r="P81" s="4"/>
      <c r="Q81" s="9">
        <v>0</v>
      </c>
      <c r="R81" s="9">
        <v>0</v>
      </c>
      <c r="S81" s="9">
        <v>0</v>
      </c>
    </row>
    <row r="82" spans="1:19" ht="12.75">
      <c r="A82" s="5">
        <f t="shared" si="14"/>
        <v>68</v>
      </c>
      <c r="B82" s="1" t="s">
        <v>9</v>
      </c>
      <c r="C82" s="9">
        <f>39853189-70382</f>
        <v>39782807</v>
      </c>
      <c r="D82" s="9">
        <v>10066524</v>
      </c>
      <c r="E82" s="4">
        <f>-C82</f>
        <v>-39782807</v>
      </c>
      <c r="F82" s="4">
        <f>-D82</f>
        <v>-10066524</v>
      </c>
      <c r="G82" s="4">
        <f>ROUND(SUM(C82:F82)/2,0)</f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5">
        <f t="shared" si="14"/>
        <v>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3.5" thickBot="1">
      <c r="A84" s="5">
        <f t="shared" si="14"/>
        <v>70</v>
      </c>
      <c r="B84" s="8" t="s">
        <v>8</v>
      </c>
      <c r="C84" s="6">
        <f>SUM(C78:C83)</f>
        <v>88005083.4</v>
      </c>
      <c r="D84" s="6">
        <f>SUM(D78:D83)</f>
        <v>21460898.1</v>
      </c>
      <c r="E84" s="6">
        <f>SUM(E78:E83)</f>
        <v>-57780760.98</v>
      </c>
      <c r="F84" s="6">
        <f>SUM(F78:F83)</f>
        <v>-16581684.469999999</v>
      </c>
      <c r="G84" s="6">
        <f>SUM(G78:G83)</f>
        <v>17551769</v>
      </c>
      <c r="H84" s="4"/>
      <c r="I84" s="6">
        <f>SUM(I78:I83)</f>
        <v>12895781.855</v>
      </c>
      <c r="J84" s="6">
        <f>SUM(J78:J83)</f>
        <v>441908.04</v>
      </c>
      <c r="K84" s="6">
        <f>SUM(K78:K83)</f>
        <v>4214078.129999999</v>
      </c>
      <c r="L84" s="4"/>
      <c r="M84" s="6">
        <f>SUM(M78:M83)</f>
        <v>25791563.71</v>
      </c>
      <c r="N84" s="6">
        <f>SUM(N78:N83)</f>
        <v>444709.95999999996</v>
      </c>
      <c r="O84" s="6">
        <f>SUM(O78:O83)</f>
        <v>3988048.75</v>
      </c>
      <c r="P84" s="4"/>
      <c r="Q84" s="6">
        <f>SUM(Q78:Q83)</f>
        <v>0</v>
      </c>
      <c r="R84" s="6">
        <f>SUM(R78:R83)</f>
        <v>439106.12</v>
      </c>
      <c r="S84" s="6">
        <f>SUM(S78:S83)</f>
        <v>4440107.510000001</v>
      </c>
    </row>
    <row r="85" spans="1:19" ht="13.5" thickTop="1">
      <c r="A85" s="5">
        <f t="shared" si="14"/>
        <v>71</v>
      </c>
      <c r="C85" s="3"/>
      <c r="D85" s="3"/>
      <c r="E85" s="3"/>
      <c r="F85" s="3"/>
      <c r="G85" s="3"/>
      <c r="H85" s="4"/>
      <c r="I85" s="3"/>
      <c r="J85" s="3"/>
      <c r="K85" s="3"/>
      <c r="L85" s="4"/>
      <c r="M85" s="3"/>
      <c r="N85" s="3"/>
      <c r="O85" s="3"/>
      <c r="P85" s="4"/>
      <c r="Q85" s="3"/>
      <c r="R85" s="3"/>
      <c r="S85" s="3"/>
    </row>
    <row r="86" spans="1:19" ht="12.75">
      <c r="A86" s="5">
        <f t="shared" si="14"/>
        <v>72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5">
        <f t="shared" si="14"/>
        <v>73</v>
      </c>
      <c r="B87" s="8" t="s">
        <v>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5">
        <f t="shared" si="14"/>
        <v>74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5">
        <f t="shared" si="14"/>
        <v>75</v>
      </c>
      <c r="B89" s="8" t="s">
        <v>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5">
        <f t="shared" si="14"/>
        <v>76</v>
      </c>
      <c r="C90" s="4"/>
      <c r="D90" s="10"/>
      <c r="E90" s="10"/>
      <c r="F90" s="10"/>
      <c r="G90" s="10"/>
      <c r="H90" s="4"/>
      <c r="I90" s="10"/>
      <c r="J90" s="10"/>
      <c r="K90" s="10"/>
      <c r="L90" s="4"/>
      <c r="M90" s="4"/>
      <c r="N90" s="4"/>
      <c r="O90" s="4"/>
      <c r="P90" s="4"/>
      <c r="Q90" s="4"/>
      <c r="R90" s="4"/>
      <c r="S90" s="4"/>
    </row>
    <row r="91" spans="1:19" ht="12.75">
      <c r="A91" s="5">
        <f t="shared" si="14"/>
        <v>77</v>
      </c>
      <c r="B91" s="8" t="s">
        <v>5</v>
      </c>
      <c r="C91" s="4"/>
      <c r="D91" s="10"/>
      <c r="E91" s="10"/>
      <c r="F91" s="10"/>
      <c r="G91" s="10"/>
      <c r="H91" s="4"/>
      <c r="I91" s="10"/>
      <c r="J91" s="10"/>
      <c r="K91" s="10"/>
      <c r="L91" s="4"/>
      <c r="M91" s="4"/>
      <c r="N91" s="4"/>
      <c r="O91" s="4"/>
      <c r="P91" s="4"/>
      <c r="Q91" s="4"/>
      <c r="R91" s="4"/>
      <c r="S91" s="4"/>
    </row>
    <row r="92" spans="1:19" ht="12.75">
      <c r="A92" s="5">
        <f t="shared" si="14"/>
        <v>78</v>
      </c>
      <c r="B92" s="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3.5" thickBot="1">
      <c r="A93" s="5">
        <f t="shared" si="14"/>
        <v>79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3.5" thickTop="1">
      <c r="A94" s="5">
        <f t="shared" si="14"/>
        <v>80</v>
      </c>
      <c r="C94" s="3"/>
      <c r="D94" s="3"/>
      <c r="E94" s="3"/>
      <c r="F94" s="3"/>
      <c r="G94" s="3"/>
      <c r="H94" s="4"/>
      <c r="I94" s="3"/>
      <c r="J94" s="3"/>
      <c r="K94" s="3"/>
      <c r="L94" s="4"/>
      <c r="M94" s="3"/>
      <c r="N94" s="3"/>
      <c r="O94" s="3"/>
      <c r="P94" s="4"/>
      <c r="Q94" s="3"/>
      <c r="R94" s="3"/>
      <c r="S94" s="3"/>
    </row>
    <row r="95" spans="1:19" ht="12.75">
      <c r="A95" s="5">
        <f t="shared" si="14"/>
        <v>81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5">
        <f t="shared" si="14"/>
        <v>82</v>
      </c>
      <c r="B96" s="7" t="s">
        <v>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5">
        <f t="shared" si="14"/>
        <v>83</v>
      </c>
      <c r="B97" s="7" t="s">
        <v>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5">
        <f t="shared" si="14"/>
        <v>84</v>
      </c>
      <c r="B98" s="8" t="s">
        <v>399</v>
      </c>
      <c r="C98" s="4">
        <f>SUM(M98:O98)</f>
        <v>571</v>
      </c>
      <c r="D98" s="4">
        <f>SUM(Q98:S98)</f>
        <v>3159</v>
      </c>
      <c r="E98" s="4"/>
      <c r="F98" s="4"/>
      <c r="G98" s="4">
        <f>ROUND(SUM(C98:F98)/2,0)</f>
        <v>1865</v>
      </c>
      <c r="H98" s="4"/>
      <c r="I98" s="4">
        <f>(M98+Q98)/2</f>
        <v>0</v>
      </c>
      <c r="J98" s="4">
        <f>(N98+R98)/2</f>
        <v>620</v>
      </c>
      <c r="K98" s="4">
        <f>(O98+S98)/2</f>
        <v>1245</v>
      </c>
      <c r="L98" s="4"/>
      <c r="M98" s="9">
        <v>0</v>
      </c>
      <c r="N98" s="9">
        <v>184</v>
      </c>
      <c r="O98" s="9">
        <v>387</v>
      </c>
      <c r="P98" s="4"/>
      <c r="Q98" s="9">
        <v>0</v>
      </c>
      <c r="R98" s="9">
        <v>1056</v>
      </c>
      <c r="S98" s="9">
        <v>2103</v>
      </c>
    </row>
    <row r="99" spans="1:19" ht="12.75">
      <c r="A99" s="5">
        <f t="shared" si="14"/>
        <v>85</v>
      </c>
      <c r="B99" s="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5">
        <f t="shared" si="14"/>
        <v>86</v>
      </c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5">
        <f t="shared" si="14"/>
        <v>87</v>
      </c>
      <c r="B101" s="7" t="s">
        <v>0</v>
      </c>
      <c r="C101" s="6">
        <f aca="true" t="shared" si="15" ref="C101:N101">SUM(C98:C100)</f>
        <v>571</v>
      </c>
      <c r="D101" s="6">
        <f t="shared" si="15"/>
        <v>3159</v>
      </c>
      <c r="E101" s="6">
        <f t="shared" si="15"/>
        <v>0</v>
      </c>
      <c r="F101" s="6">
        <f t="shared" si="15"/>
        <v>0</v>
      </c>
      <c r="G101" s="6">
        <f t="shared" si="15"/>
        <v>1865</v>
      </c>
      <c r="H101" s="4"/>
      <c r="I101" s="6">
        <f>SUM(I98:I100)</f>
        <v>0</v>
      </c>
      <c r="J101" s="6">
        <f>SUM(J98:J100)</f>
        <v>620</v>
      </c>
      <c r="K101" s="6">
        <f>SUM(K98:K100)</f>
        <v>1245</v>
      </c>
      <c r="L101" s="4"/>
      <c r="M101" s="6">
        <f t="shared" si="15"/>
        <v>0</v>
      </c>
      <c r="N101" s="6">
        <f t="shared" si="15"/>
        <v>184</v>
      </c>
      <c r="O101" s="6">
        <f>SUM(O98:O100)</f>
        <v>387</v>
      </c>
      <c r="P101" s="4"/>
      <c r="Q101" s="6">
        <f>SUM(Q98:Q100)</f>
        <v>0</v>
      </c>
      <c r="R101" s="6">
        <f>SUM(R98:R100)</f>
        <v>1056</v>
      </c>
      <c r="S101" s="6">
        <f>SUM(S98:S100)</f>
        <v>2103</v>
      </c>
    </row>
  </sheetData>
  <sheetProtection/>
  <printOptions/>
  <pageMargins left="0.75" right="0.25" top="0.5" bottom="0.5" header="0.25" footer="0.25"/>
  <pageSetup horizontalDpi="600" verticalDpi="600" orientation="portrait" scale="65" r:id="rId3"/>
  <headerFooter alignWithMargins="0">
    <oddHeader>&amp;RSTATEMENT AF
PAGE &amp;P OF &amp;N</oddHeader>
  </headerFooter>
  <colBreaks count="3" manualBreakCount="3">
    <brk id="7" min="13" max="69" man="1"/>
    <brk id="11" min="13" max="69" man="1"/>
    <brk id="15" min="13" max="69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2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3" sqref="B23"/>
    </sheetView>
  </sheetViews>
  <sheetFormatPr defaultColWidth="12.7109375" defaultRowHeight="12.75"/>
  <cols>
    <col min="1" max="1" width="4.7109375" style="43" customWidth="1"/>
    <col min="2" max="2" width="54.7109375" style="44" customWidth="1"/>
    <col min="3" max="7" width="15.7109375" style="44" customWidth="1"/>
    <col min="8" max="8" width="2.7109375" style="44" customWidth="1"/>
    <col min="9" max="11" width="15.7109375" style="44" customWidth="1"/>
    <col min="12" max="12" width="2.7109375" style="44" customWidth="1"/>
    <col min="13" max="15" width="15.7109375" style="44" customWidth="1"/>
    <col min="16" max="16" width="2.7109375" style="44" customWidth="1"/>
    <col min="17" max="19" width="15.7109375" style="44" customWidth="1"/>
    <col min="20" max="16384" width="12.7109375" style="44" customWidth="1"/>
  </cols>
  <sheetData>
    <row r="1" spans="2:19" ht="12.75">
      <c r="B1" s="26" t="s">
        <v>629</v>
      </c>
      <c r="G1" s="45"/>
      <c r="H1" s="15"/>
      <c r="I1" s="15"/>
      <c r="J1" s="15"/>
      <c r="K1" s="45"/>
      <c r="L1" s="15"/>
      <c r="O1" s="45"/>
      <c r="S1" s="45"/>
    </row>
    <row r="2" spans="2:19" ht="12.75">
      <c r="B2" s="26" t="s">
        <v>182</v>
      </c>
      <c r="G2" s="45"/>
      <c r="H2" s="15"/>
      <c r="I2" s="15"/>
      <c r="J2" s="15"/>
      <c r="K2" s="45"/>
      <c r="L2" s="15"/>
      <c r="O2" s="45"/>
      <c r="S2" s="45"/>
    </row>
    <row r="3" ht="12.75">
      <c r="B3" s="26" t="s">
        <v>179</v>
      </c>
    </row>
    <row r="4" spans="2:7" ht="12.75">
      <c r="B4" s="46"/>
      <c r="G4" s="45" t="s">
        <v>183</v>
      </c>
    </row>
    <row r="5" ht="12.75"/>
    <row r="6" spans="8:12" ht="12.75">
      <c r="H6" s="47"/>
      <c r="I6" s="47"/>
      <c r="J6" s="47"/>
      <c r="K6" s="47"/>
      <c r="L6" s="47"/>
    </row>
    <row r="7" ht="12.75"/>
    <row r="8" spans="2:19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/>
      <c r="M8" s="18" t="s">
        <v>168</v>
      </c>
      <c r="N8" s="18" t="s">
        <v>167</v>
      </c>
      <c r="O8" s="18" t="s">
        <v>166</v>
      </c>
      <c r="Q8" s="18" t="s">
        <v>165</v>
      </c>
      <c r="R8" s="18" t="s">
        <v>164</v>
      </c>
      <c r="S8" s="18" t="s">
        <v>163</v>
      </c>
    </row>
    <row r="9" ht="12.75"/>
    <row r="10" spans="3:19" ht="12.75">
      <c r="C10" s="36" t="s">
        <v>162</v>
      </c>
      <c r="D10" s="36"/>
      <c r="E10" s="23" t="s">
        <v>161</v>
      </c>
      <c r="F10" s="36"/>
      <c r="G10" s="47" t="s">
        <v>160</v>
      </c>
      <c r="H10" s="47"/>
      <c r="I10" s="36" t="s">
        <v>159</v>
      </c>
      <c r="J10" s="36"/>
      <c r="K10" s="36"/>
      <c r="L10" s="47"/>
      <c r="M10" s="36" t="s">
        <v>158</v>
      </c>
      <c r="N10" s="36"/>
      <c r="O10" s="36"/>
      <c r="Q10" s="36" t="s">
        <v>157</v>
      </c>
      <c r="R10" s="36"/>
      <c r="S10" s="36"/>
    </row>
    <row r="11" spans="3:19" ht="12.75">
      <c r="C11" s="48"/>
      <c r="D11" s="48"/>
      <c r="G11" s="47" t="s">
        <v>156</v>
      </c>
      <c r="H11" s="47"/>
      <c r="I11" s="48"/>
      <c r="J11" s="48"/>
      <c r="K11" s="48"/>
      <c r="L11" s="47"/>
      <c r="M11" s="48"/>
      <c r="N11" s="48"/>
      <c r="O11" s="48"/>
      <c r="Q11" s="48"/>
      <c r="R11" s="48"/>
      <c r="S11" s="48"/>
    </row>
    <row r="12" spans="3:12" ht="12.75">
      <c r="C12" s="47" t="s">
        <v>155</v>
      </c>
      <c r="D12" s="47" t="s">
        <v>155</v>
      </c>
      <c r="E12" s="47" t="s">
        <v>155</v>
      </c>
      <c r="F12" s="47" t="s">
        <v>155</v>
      </c>
      <c r="G12" s="47" t="s">
        <v>154</v>
      </c>
      <c r="H12" s="47"/>
      <c r="L12" s="47"/>
    </row>
    <row r="13" spans="2:19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D13</f>
        <v>OF 12-31-14</v>
      </c>
      <c r="G13" s="18" t="s">
        <v>150</v>
      </c>
      <c r="H13" s="18"/>
      <c r="I13" s="18" t="s">
        <v>149</v>
      </c>
      <c r="J13" s="18" t="s">
        <v>148</v>
      </c>
      <c r="K13" s="18" t="s">
        <v>147</v>
      </c>
      <c r="L13" s="18"/>
      <c r="M13" s="18" t="s">
        <v>149</v>
      </c>
      <c r="N13" s="18" t="s">
        <v>148</v>
      </c>
      <c r="O13" s="18" t="s">
        <v>147</v>
      </c>
      <c r="Q13" s="18" t="s">
        <v>149</v>
      </c>
      <c r="R13" s="18" t="s">
        <v>148</v>
      </c>
      <c r="S13" s="18" t="s">
        <v>147</v>
      </c>
    </row>
    <row r="14" ht="12.75"/>
    <row r="15" spans="1:19" ht="12.75">
      <c r="A15" s="85">
        <v>1</v>
      </c>
      <c r="B15" s="13" t="s">
        <v>184</v>
      </c>
      <c r="C15" s="13"/>
      <c r="D15" s="13"/>
      <c r="E15" s="13"/>
      <c r="F15" s="5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>
      <c r="A16" s="86">
        <f aca="true" t="shared" si="0" ref="A16:A62">A15+1</f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>
      <c r="A17" s="86">
        <f t="shared" si="0"/>
        <v>3</v>
      </c>
      <c r="B17" s="13" t="s">
        <v>185</v>
      </c>
      <c r="C17" s="13">
        <f>SUM(M17:O17)</f>
        <v>16140</v>
      </c>
      <c r="D17" s="13">
        <f aca="true" t="shared" si="1" ref="D17:D55">SUM(Q17:S17)</f>
        <v>19843</v>
      </c>
      <c r="E17" s="13"/>
      <c r="F17" s="13"/>
      <c r="G17" s="13">
        <f aca="true" t="shared" si="2" ref="G17:G55">ROUND(SUM(C17:F17)/2,0)</f>
        <v>17992</v>
      </c>
      <c r="H17" s="87" t="str">
        <f>IF((SUM(I17:K17)-G17)&gt;1,"E"," ")</f>
        <v> </v>
      </c>
      <c r="I17" s="13">
        <f>(M17+Q17)/2</f>
        <v>0</v>
      </c>
      <c r="J17" s="13">
        <f>(N17+R17)/2</f>
        <v>6161.5</v>
      </c>
      <c r="K17" s="13">
        <f>(O17+S17)/2</f>
        <v>11830</v>
      </c>
      <c r="L17" s="13"/>
      <c r="M17" s="14">
        <v>0</v>
      </c>
      <c r="N17" s="14">
        <v>6464</v>
      </c>
      <c r="O17" s="14">
        <v>9676</v>
      </c>
      <c r="P17" s="13"/>
      <c r="Q17" s="39">
        <v>0</v>
      </c>
      <c r="R17" s="39">
        <v>5859</v>
      </c>
      <c r="S17" s="39">
        <v>13984</v>
      </c>
    </row>
    <row r="18" spans="1:19" ht="12.75">
      <c r="A18" s="86">
        <f t="shared" si="0"/>
        <v>4</v>
      </c>
      <c r="B18" s="13" t="s">
        <v>186</v>
      </c>
      <c r="C18" s="13">
        <f aca="true" t="shared" si="3" ref="C18:C55">SUM(M18:O18)</f>
        <v>828055.99</v>
      </c>
      <c r="D18" s="13">
        <f t="shared" si="1"/>
        <v>693767.0700000001</v>
      </c>
      <c r="E18" s="13"/>
      <c r="F18" s="13"/>
      <c r="G18" s="13">
        <f t="shared" si="2"/>
        <v>760912</v>
      </c>
      <c r="H18" s="87" t="str">
        <f aca="true" t="shared" si="4" ref="H18:H55">IF((SUM(I18:K18)-G18)&gt;1,"E"," ")</f>
        <v> </v>
      </c>
      <c r="I18" s="13">
        <f aca="true" t="shared" si="5" ref="I18:K55">(M18+Q18)/2</f>
        <v>58245.66</v>
      </c>
      <c r="J18" s="13">
        <f t="shared" si="5"/>
        <v>281037.81</v>
      </c>
      <c r="K18" s="13">
        <f t="shared" si="5"/>
        <v>421628.06</v>
      </c>
      <c r="L18" s="13"/>
      <c r="M18" s="14">
        <v>116491.32</v>
      </c>
      <c r="N18" s="14">
        <v>292191.35</v>
      </c>
      <c r="O18" s="14">
        <v>419373.31999999995</v>
      </c>
      <c r="P18" s="13"/>
      <c r="Q18" s="39">
        <v>0</v>
      </c>
      <c r="R18" s="39">
        <f>342496.27-72612</f>
        <v>269884.27</v>
      </c>
      <c r="S18" s="39">
        <f>636340.8-212458</f>
        <v>423882.80000000005</v>
      </c>
    </row>
    <row r="19" spans="1:19" ht="12.75">
      <c r="A19" s="86">
        <f t="shared" si="0"/>
        <v>5</v>
      </c>
      <c r="B19" s="13" t="s">
        <v>403</v>
      </c>
      <c r="C19" s="13">
        <f t="shared" si="3"/>
        <v>1074224.94</v>
      </c>
      <c r="D19" s="13">
        <f t="shared" si="1"/>
        <v>1146022.1800000002</v>
      </c>
      <c r="E19" s="13"/>
      <c r="F19" s="13"/>
      <c r="G19" s="13">
        <f t="shared" si="2"/>
        <v>1110124</v>
      </c>
      <c r="H19" s="87" t="str">
        <f t="shared" si="4"/>
        <v> </v>
      </c>
      <c r="I19" s="13">
        <f t="shared" si="5"/>
        <v>0</v>
      </c>
      <c r="J19" s="13">
        <f t="shared" si="5"/>
        <v>600449.02</v>
      </c>
      <c r="K19" s="13">
        <f t="shared" si="5"/>
        <v>509674.54000000004</v>
      </c>
      <c r="L19" s="13"/>
      <c r="M19" s="14">
        <v>0</v>
      </c>
      <c r="N19" s="14">
        <v>573677.87</v>
      </c>
      <c r="O19" s="14">
        <v>500547.07</v>
      </c>
      <c r="P19" s="13"/>
      <c r="Q19" s="39">
        <v>0</v>
      </c>
      <c r="R19" s="39">
        <v>627220.17</v>
      </c>
      <c r="S19" s="39">
        <v>518802.01</v>
      </c>
    </row>
    <row r="20" spans="1:19" ht="12.75">
      <c r="A20" s="86">
        <f t="shared" si="0"/>
        <v>6</v>
      </c>
      <c r="B20" s="13" t="s">
        <v>632</v>
      </c>
      <c r="C20" s="13">
        <f t="shared" si="3"/>
        <v>0</v>
      </c>
      <c r="D20" s="13">
        <f t="shared" si="1"/>
        <v>0.15</v>
      </c>
      <c r="E20" s="13"/>
      <c r="F20" s="13"/>
      <c r="G20" s="13">
        <f t="shared" si="2"/>
        <v>0</v>
      </c>
      <c r="H20" s="87" t="str">
        <f t="shared" si="4"/>
        <v> </v>
      </c>
      <c r="I20" s="13">
        <f t="shared" si="5"/>
        <v>0</v>
      </c>
      <c r="J20" s="13">
        <f t="shared" si="5"/>
        <v>0</v>
      </c>
      <c r="K20" s="13">
        <f t="shared" si="5"/>
        <v>0.075</v>
      </c>
      <c r="L20" s="13"/>
      <c r="M20" s="14">
        <v>0</v>
      </c>
      <c r="N20" s="14">
        <v>0</v>
      </c>
      <c r="O20" s="14">
        <v>0</v>
      </c>
      <c r="P20" s="13"/>
      <c r="Q20" s="39">
        <v>0</v>
      </c>
      <c r="R20" s="39">
        <v>0</v>
      </c>
      <c r="S20" s="39">
        <v>0.15</v>
      </c>
    </row>
    <row r="21" spans="1:19" ht="12.75">
      <c r="A21" s="86">
        <f t="shared" si="0"/>
        <v>7</v>
      </c>
      <c r="B21" s="13" t="s">
        <v>633</v>
      </c>
      <c r="C21" s="13">
        <f t="shared" si="3"/>
        <v>0</v>
      </c>
      <c r="D21" s="13">
        <f t="shared" si="1"/>
        <v>0</v>
      </c>
      <c r="E21" s="13"/>
      <c r="F21" s="13"/>
      <c r="G21" s="13">
        <f t="shared" si="2"/>
        <v>0</v>
      </c>
      <c r="H21" s="87" t="str">
        <f t="shared" si="4"/>
        <v> 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/>
      <c r="M21" s="14">
        <v>0</v>
      </c>
      <c r="N21" s="14">
        <v>0</v>
      </c>
      <c r="O21" s="14">
        <v>0</v>
      </c>
      <c r="P21" s="13"/>
      <c r="Q21" s="39">
        <v>0</v>
      </c>
      <c r="R21" s="39">
        <v>0</v>
      </c>
      <c r="S21" s="39">
        <v>0</v>
      </c>
    </row>
    <row r="22" spans="1:19" ht="12.75">
      <c r="A22" s="86">
        <f t="shared" si="0"/>
        <v>8</v>
      </c>
      <c r="B22" s="13" t="s">
        <v>198</v>
      </c>
      <c r="C22" s="13">
        <f t="shared" si="3"/>
        <v>105258.99</v>
      </c>
      <c r="D22" s="13">
        <f t="shared" si="1"/>
        <v>84679.86</v>
      </c>
      <c r="E22" s="13"/>
      <c r="F22" s="13"/>
      <c r="G22" s="13">
        <f t="shared" si="2"/>
        <v>94969</v>
      </c>
      <c r="H22" s="87" t="str">
        <f t="shared" si="4"/>
        <v> </v>
      </c>
      <c r="I22" s="13">
        <f t="shared" si="5"/>
        <v>0</v>
      </c>
      <c r="J22" s="13">
        <f t="shared" si="5"/>
        <v>-0.01</v>
      </c>
      <c r="K22" s="13">
        <f t="shared" si="5"/>
        <v>94969.435</v>
      </c>
      <c r="L22" s="13"/>
      <c r="M22" s="14">
        <v>0</v>
      </c>
      <c r="N22" s="14">
        <v>-0.01</v>
      </c>
      <c r="O22" s="14">
        <v>105259</v>
      </c>
      <c r="P22" s="13"/>
      <c r="Q22" s="39">
        <v>0</v>
      </c>
      <c r="R22" s="39">
        <v>-0.01</v>
      </c>
      <c r="S22" s="39">
        <v>84679.87</v>
      </c>
    </row>
    <row r="23" spans="1:19" ht="12.75">
      <c r="A23" s="86">
        <f t="shared" si="0"/>
        <v>9</v>
      </c>
      <c r="B23" s="13" t="s">
        <v>203</v>
      </c>
      <c r="C23" s="13">
        <f t="shared" si="3"/>
        <v>2101.45</v>
      </c>
      <c r="D23" s="13">
        <f t="shared" si="1"/>
        <v>0</v>
      </c>
      <c r="E23" s="13"/>
      <c r="F23" s="13"/>
      <c r="G23" s="13">
        <f t="shared" si="2"/>
        <v>1051</v>
      </c>
      <c r="H23" s="87" t="str">
        <f t="shared" si="4"/>
        <v> </v>
      </c>
      <c r="I23" s="13">
        <f t="shared" si="5"/>
        <v>0</v>
      </c>
      <c r="J23" s="13">
        <f t="shared" si="5"/>
        <v>0</v>
      </c>
      <c r="K23" s="13">
        <f t="shared" si="5"/>
        <v>1050.725</v>
      </c>
      <c r="L23" s="13"/>
      <c r="M23" s="14">
        <v>0</v>
      </c>
      <c r="N23" s="14">
        <v>0</v>
      </c>
      <c r="O23" s="14">
        <v>2101.45</v>
      </c>
      <c r="P23" s="13"/>
      <c r="Q23" s="39">
        <v>0</v>
      </c>
      <c r="R23" s="39">
        <v>0</v>
      </c>
      <c r="S23" s="39">
        <v>0</v>
      </c>
    </row>
    <row r="24" spans="1:19" ht="12.75">
      <c r="A24" s="86">
        <f t="shared" si="0"/>
        <v>10</v>
      </c>
      <c r="B24" s="13" t="s">
        <v>204</v>
      </c>
      <c r="C24" s="13">
        <f t="shared" si="3"/>
        <v>116824.95</v>
      </c>
      <c r="D24" s="13">
        <f t="shared" si="1"/>
        <v>69541.65</v>
      </c>
      <c r="E24" s="13"/>
      <c r="F24" s="13"/>
      <c r="G24" s="13">
        <f t="shared" si="2"/>
        <v>93183</v>
      </c>
      <c r="H24" s="87" t="str">
        <f t="shared" si="4"/>
        <v> </v>
      </c>
      <c r="I24" s="13">
        <f t="shared" si="5"/>
        <v>0</v>
      </c>
      <c r="J24" s="13">
        <f t="shared" si="5"/>
        <v>0</v>
      </c>
      <c r="K24" s="13">
        <f t="shared" si="5"/>
        <v>93183.29999999999</v>
      </c>
      <c r="L24" s="13"/>
      <c r="M24" s="14">
        <v>0</v>
      </c>
      <c r="N24" s="14">
        <v>0</v>
      </c>
      <c r="O24" s="14">
        <v>116824.95</v>
      </c>
      <c r="P24" s="13"/>
      <c r="Q24" s="39">
        <v>0</v>
      </c>
      <c r="R24" s="39">
        <v>0</v>
      </c>
      <c r="S24" s="39">
        <v>69541.65</v>
      </c>
    </row>
    <row r="25" spans="1:19" ht="12.75">
      <c r="A25" s="86">
        <f t="shared" si="0"/>
        <v>11</v>
      </c>
      <c r="B25" s="13" t="s">
        <v>197</v>
      </c>
      <c r="C25" s="13">
        <f t="shared" si="3"/>
        <v>4029.9</v>
      </c>
      <c r="D25" s="13">
        <f t="shared" si="1"/>
        <v>0</v>
      </c>
      <c r="E25" s="13"/>
      <c r="F25" s="13"/>
      <c r="G25" s="13">
        <f t="shared" si="2"/>
        <v>2015</v>
      </c>
      <c r="H25" s="87" t="str">
        <f t="shared" si="4"/>
        <v> </v>
      </c>
      <c r="I25" s="13">
        <f t="shared" si="5"/>
        <v>2014.95</v>
      </c>
      <c r="J25" s="13">
        <f t="shared" si="5"/>
        <v>0</v>
      </c>
      <c r="K25" s="13">
        <f t="shared" si="5"/>
        <v>0</v>
      </c>
      <c r="L25" s="13"/>
      <c r="M25" s="14">
        <v>4029.9</v>
      </c>
      <c r="N25" s="14">
        <v>0</v>
      </c>
      <c r="O25" s="14">
        <v>0</v>
      </c>
      <c r="P25" s="13"/>
      <c r="Q25" s="39">
        <v>0</v>
      </c>
      <c r="R25" s="39">
        <v>0</v>
      </c>
      <c r="S25" s="39">
        <v>0</v>
      </c>
    </row>
    <row r="26" spans="1:19" ht="12.75">
      <c r="A26" s="86">
        <f t="shared" si="0"/>
        <v>12</v>
      </c>
      <c r="B26" s="13" t="s">
        <v>205</v>
      </c>
      <c r="C26" s="13">
        <f t="shared" si="3"/>
        <v>613.2</v>
      </c>
      <c r="D26" s="13">
        <f t="shared" si="1"/>
        <v>0</v>
      </c>
      <c r="E26" s="13"/>
      <c r="F26" s="13"/>
      <c r="G26" s="13">
        <f t="shared" si="2"/>
        <v>307</v>
      </c>
      <c r="H26" s="87" t="str">
        <f t="shared" si="4"/>
        <v> </v>
      </c>
      <c r="I26" s="13">
        <f t="shared" si="5"/>
        <v>306.6</v>
      </c>
      <c r="J26" s="13">
        <f t="shared" si="5"/>
        <v>0</v>
      </c>
      <c r="K26" s="13">
        <f t="shared" si="5"/>
        <v>0</v>
      </c>
      <c r="L26" s="13"/>
      <c r="M26" s="14">
        <v>613.2</v>
      </c>
      <c r="N26" s="14">
        <v>0</v>
      </c>
      <c r="O26" s="14">
        <v>0</v>
      </c>
      <c r="P26" s="13"/>
      <c r="Q26" s="39">
        <v>0</v>
      </c>
      <c r="R26" s="39">
        <v>0</v>
      </c>
      <c r="S26" s="39">
        <v>0</v>
      </c>
    </row>
    <row r="27" spans="1:19" ht="12.75">
      <c r="A27" s="86">
        <f t="shared" si="0"/>
        <v>13</v>
      </c>
      <c r="B27" s="13" t="s">
        <v>206</v>
      </c>
      <c r="C27" s="13">
        <f t="shared" si="3"/>
        <v>-53.2</v>
      </c>
      <c r="D27" s="13">
        <f t="shared" si="1"/>
        <v>0</v>
      </c>
      <c r="E27" s="13"/>
      <c r="F27" s="13"/>
      <c r="G27" s="13">
        <f t="shared" si="2"/>
        <v>-27</v>
      </c>
      <c r="H27" s="87" t="str">
        <f t="shared" si="4"/>
        <v> </v>
      </c>
      <c r="I27" s="13">
        <f t="shared" si="5"/>
        <v>-26.6</v>
      </c>
      <c r="J27" s="13">
        <f t="shared" si="5"/>
        <v>0</v>
      </c>
      <c r="K27" s="13">
        <f t="shared" si="5"/>
        <v>0</v>
      </c>
      <c r="L27" s="13"/>
      <c r="M27" s="14">
        <v>-53.2</v>
      </c>
      <c r="N27" s="14">
        <v>0</v>
      </c>
      <c r="O27" s="14">
        <v>0</v>
      </c>
      <c r="P27" s="13"/>
      <c r="Q27" s="39">
        <v>0</v>
      </c>
      <c r="R27" s="39">
        <v>0</v>
      </c>
      <c r="S27" s="39">
        <v>0</v>
      </c>
    </row>
    <row r="28" spans="1:19" ht="12.75">
      <c r="A28" s="86">
        <f t="shared" si="0"/>
        <v>14</v>
      </c>
      <c r="B28" s="13" t="s">
        <v>207</v>
      </c>
      <c r="C28" s="13">
        <f t="shared" si="3"/>
        <v>0</v>
      </c>
      <c r="D28" s="13">
        <f t="shared" si="1"/>
        <v>0</v>
      </c>
      <c r="E28" s="13"/>
      <c r="F28" s="13"/>
      <c r="G28" s="13">
        <f t="shared" si="2"/>
        <v>0</v>
      </c>
      <c r="H28" s="87" t="str">
        <f t="shared" si="4"/>
        <v> 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/>
      <c r="M28" s="14">
        <v>0</v>
      </c>
      <c r="N28" s="14">
        <v>0</v>
      </c>
      <c r="O28" s="14">
        <v>0</v>
      </c>
      <c r="P28" s="13"/>
      <c r="Q28" s="39">
        <v>0</v>
      </c>
      <c r="R28" s="39">
        <v>0</v>
      </c>
      <c r="S28" s="39">
        <v>0</v>
      </c>
    </row>
    <row r="29" spans="1:19" ht="12.75">
      <c r="A29" s="86">
        <f t="shared" si="0"/>
        <v>15</v>
      </c>
      <c r="B29" s="13" t="s">
        <v>208</v>
      </c>
      <c r="C29" s="13">
        <f t="shared" si="3"/>
        <v>282485.19999999995</v>
      </c>
      <c r="D29" s="13">
        <f t="shared" si="1"/>
        <v>225109.83</v>
      </c>
      <c r="E29" s="13"/>
      <c r="F29" s="13"/>
      <c r="G29" s="13">
        <f t="shared" si="2"/>
        <v>253798</v>
      </c>
      <c r="H29" s="87" t="str">
        <f t="shared" si="4"/>
        <v> </v>
      </c>
      <c r="I29" s="13">
        <f t="shared" si="5"/>
        <v>0</v>
      </c>
      <c r="J29" s="13">
        <f t="shared" si="5"/>
        <v>-3968.03</v>
      </c>
      <c r="K29" s="13">
        <f t="shared" si="5"/>
        <v>257765.54499999998</v>
      </c>
      <c r="L29" s="13"/>
      <c r="M29" s="14">
        <v>0</v>
      </c>
      <c r="N29" s="14">
        <v>-3968.03</v>
      </c>
      <c r="O29" s="14">
        <v>286453.23</v>
      </c>
      <c r="P29" s="13"/>
      <c r="Q29" s="39">
        <v>0</v>
      </c>
      <c r="R29" s="39">
        <v>-3968.03</v>
      </c>
      <c r="S29" s="39">
        <v>229077.86</v>
      </c>
    </row>
    <row r="30" spans="1:19" ht="12.75">
      <c r="A30" s="86">
        <f t="shared" si="0"/>
        <v>16</v>
      </c>
      <c r="B30" s="13" t="s">
        <v>210</v>
      </c>
      <c r="C30" s="13">
        <f t="shared" si="3"/>
        <v>82436.53</v>
      </c>
      <c r="D30" s="13">
        <f t="shared" si="1"/>
        <v>68117.04</v>
      </c>
      <c r="E30" s="13"/>
      <c r="F30" s="13"/>
      <c r="G30" s="13">
        <f t="shared" si="2"/>
        <v>75277</v>
      </c>
      <c r="H30" s="87" t="str">
        <f t="shared" si="4"/>
        <v> </v>
      </c>
      <c r="I30" s="13">
        <f t="shared" si="5"/>
        <v>0</v>
      </c>
      <c r="J30" s="13">
        <f t="shared" si="5"/>
        <v>-4156</v>
      </c>
      <c r="K30" s="13">
        <f t="shared" si="5"/>
        <v>79432.785</v>
      </c>
      <c r="L30" s="13"/>
      <c r="M30" s="14">
        <v>0</v>
      </c>
      <c r="N30" s="14">
        <v>-4156</v>
      </c>
      <c r="O30" s="14">
        <v>86592.53</v>
      </c>
      <c r="P30" s="13"/>
      <c r="Q30" s="39">
        <v>0</v>
      </c>
      <c r="R30" s="39">
        <v>-4156</v>
      </c>
      <c r="S30" s="39">
        <v>72273.04</v>
      </c>
    </row>
    <row r="31" spans="1:19" ht="12.75">
      <c r="A31" s="86">
        <f t="shared" si="0"/>
        <v>17</v>
      </c>
      <c r="B31" s="13" t="s">
        <v>212</v>
      </c>
      <c r="C31" s="13">
        <f t="shared" si="3"/>
        <v>157063.2</v>
      </c>
      <c r="D31" s="13">
        <f t="shared" si="1"/>
        <v>157063.2</v>
      </c>
      <c r="E31" s="13"/>
      <c r="F31" s="13"/>
      <c r="G31" s="13">
        <f t="shared" si="2"/>
        <v>157063</v>
      </c>
      <c r="H31" s="87" t="str">
        <f t="shared" si="4"/>
        <v> </v>
      </c>
      <c r="I31" s="13">
        <f t="shared" si="5"/>
        <v>0</v>
      </c>
      <c r="J31" s="13">
        <f t="shared" si="5"/>
        <v>0</v>
      </c>
      <c r="K31" s="13">
        <f t="shared" si="5"/>
        <v>157063.2</v>
      </c>
      <c r="L31" s="13"/>
      <c r="M31" s="14">
        <v>0</v>
      </c>
      <c r="N31" s="14">
        <v>0</v>
      </c>
      <c r="O31" s="14">
        <v>157063.2</v>
      </c>
      <c r="P31" s="13"/>
      <c r="Q31" s="39">
        <v>0</v>
      </c>
      <c r="R31" s="39">
        <v>0</v>
      </c>
      <c r="S31" s="39">
        <v>157063.2</v>
      </c>
    </row>
    <row r="32" spans="1:19" ht="12.75">
      <c r="A32" s="86">
        <f t="shared" si="0"/>
        <v>18</v>
      </c>
      <c r="B32" s="13" t="s">
        <v>214</v>
      </c>
      <c r="C32" s="13">
        <f t="shared" si="3"/>
        <v>142863.45</v>
      </c>
      <c r="D32" s="13">
        <f t="shared" si="1"/>
        <v>142863.45</v>
      </c>
      <c r="E32" s="13"/>
      <c r="F32" s="13"/>
      <c r="G32" s="13">
        <f t="shared" si="2"/>
        <v>142863</v>
      </c>
      <c r="H32" s="87" t="str">
        <f t="shared" si="4"/>
        <v> </v>
      </c>
      <c r="I32" s="13">
        <f t="shared" si="5"/>
        <v>0</v>
      </c>
      <c r="J32" s="13">
        <f t="shared" si="5"/>
        <v>-38.399999999999636</v>
      </c>
      <c r="K32" s="13">
        <f t="shared" si="5"/>
        <v>142901.85</v>
      </c>
      <c r="L32" s="13"/>
      <c r="M32" s="14">
        <v>0</v>
      </c>
      <c r="N32" s="14">
        <v>-38.399999999999636</v>
      </c>
      <c r="O32" s="14">
        <v>142901.85</v>
      </c>
      <c r="P32" s="13"/>
      <c r="Q32" s="39">
        <v>0</v>
      </c>
      <c r="R32" s="39">
        <f>-13140.4+13102</f>
        <v>-38.399999999999636</v>
      </c>
      <c r="S32" s="39">
        <f>112706.85+30195</f>
        <v>142901.85</v>
      </c>
    </row>
    <row r="33" spans="1:19" ht="12.75">
      <c r="A33" s="86">
        <f t="shared" si="0"/>
        <v>19</v>
      </c>
      <c r="B33" s="13" t="s">
        <v>215</v>
      </c>
      <c r="C33" s="13">
        <f t="shared" si="3"/>
        <v>0</v>
      </c>
      <c r="D33" s="13">
        <f t="shared" si="1"/>
        <v>0</v>
      </c>
      <c r="E33" s="13"/>
      <c r="F33" s="13"/>
      <c r="G33" s="13">
        <f t="shared" si="2"/>
        <v>0</v>
      </c>
      <c r="H33" s="87" t="str">
        <f t="shared" si="4"/>
        <v> </v>
      </c>
      <c r="I33" s="13">
        <f t="shared" si="5"/>
        <v>0</v>
      </c>
      <c r="J33" s="13">
        <f t="shared" si="5"/>
        <v>0</v>
      </c>
      <c r="K33" s="13">
        <f t="shared" si="5"/>
        <v>0</v>
      </c>
      <c r="L33" s="13"/>
      <c r="M33" s="14">
        <v>0</v>
      </c>
      <c r="N33" s="14">
        <v>0</v>
      </c>
      <c r="O33" s="14">
        <v>0</v>
      </c>
      <c r="P33" s="13"/>
      <c r="Q33" s="39">
        <v>0</v>
      </c>
      <c r="R33" s="39">
        <v>0</v>
      </c>
      <c r="S33" s="39">
        <v>0</v>
      </c>
    </row>
    <row r="34" spans="1:19" ht="12.75">
      <c r="A34" s="86">
        <f t="shared" si="0"/>
        <v>20</v>
      </c>
      <c r="B34" s="13" t="s">
        <v>219</v>
      </c>
      <c r="C34" s="13">
        <f t="shared" si="3"/>
        <v>127199</v>
      </c>
      <c r="D34" s="13">
        <f t="shared" si="1"/>
        <v>0</v>
      </c>
      <c r="E34" s="13"/>
      <c r="F34" s="13"/>
      <c r="G34" s="13">
        <f t="shared" si="2"/>
        <v>63600</v>
      </c>
      <c r="H34" s="87" t="str">
        <f t="shared" si="4"/>
        <v> </v>
      </c>
      <c r="I34" s="13">
        <f t="shared" si="5"/>
        <v>63599.5</v>
      </c>
      <c r="J34" s="13">
        <f t="shared" si="5"/>
        <v>0</v>
      </c>
      <c r="K34" s="13">
        <f t="shared" si="5"/>
        <v>0</v>
      </c>
      <c r="L34" s="13"/>
      <c r="M34" s="14">
        <v>127199</v>
      </c>
      <c r="N34" s="14">
        <v>0</v>
      </c>
      <c r="O34" s="14">
        <v>0</v>
      </c>
      <c r="P34" s="13"/>
      <c r="Q34" s="39">
        <v>0</v>
      </c>
      <c r="R34" s="39">
        <v>0</v>
      </c>
      <c r="S34" s="39">
        <v>0</v>
      </c>
    </row>
    <row r="35" spans="1:19" ht="12.75">
      <c r="A35" s="86">
        <f t="shared" si="0"/>
        <v>21</v>
      </c>
      <c r="B35" s="13" t="s">
        <v>221</v>
      </c>
      <c r="C35" s="13">
        <f t="shared" si="3"/>
        <v>189830</v>
      </c>
      <c r="D35" s="13">
        <f t="shared" si="1"/>
        <v>0</v>
      </c>
      <c r="E35" s="13"/>
      <c r="F35" s="13"/>
      <c r="G35" s="13">
        <f t="shared" si="2"/>
        <v>94915</v>
      </c>
      <c r="H35" s="87" t="str">
        <f t="shared" si="4"/>
        <v> </v>
      </c>
      <c r="I35" s="13">
        <f t="shared" si="5"/>
        <v>94915</v>
      </c>
      <c r="J35" s="13">
        <f t="shared" si="5"/>
        <v>0</v>
      </c>
      <c r="K35" s="13">
        <f t="shared" si="5"/>
        <v>0</v>
      </c>
      <c r="L35" s="13"/>
      <c r="M35" s="14">
        <v>189830</v>
      </c>
      <c r="N35" s="14">
        <v>0</v>
      </c>
      <c r="O35" s="14">
        <v>0</v>
      </c>
      <c r="P35" s="13"/>
      <c r="Q35" s="39">
        <v>0</v>
      </c>
      <c r="R35" s="39">
        <v>0</v>
      </c>
      <c r="S35" s="39">
        <v>0</v>
      </c>
    </row>
    <row r="36" spans="1:19" ht="12.75">
      <c r="A36" s="86">
        <f t="shared" si="0"/>
        <v>22</v>
      </c>
      <c r="B36" s="13" t="s">
        <v>222</v>
      </c>
      <c r="C36" s="13">
        <f t="shared" si="3"/>
        <v>-0.48</v>
      </c>
      <c r="D36" s="13">
        <f t="shared" si="1"/>
        <v>0</v>
      </c>
      <c r="E36" s="13"/>
      <c r="F36" s="13"/>
      <c r="G36" s="13">
        <f t="shared" si="2"/>
        <v>0</v>
      </c>
      <c r="H36" s="87" t="str">
        <f t="shared" si="4"/>
        <v> </v>
      </c>
      <c r="I36" s="13">
        <f t="shared" si="5"/>
        <v>-0.24</v>
      </c>
      <c r="J36" s="13">
        <f t="shared" si="5"/>
        <v>0</v>
      </c>
      <c r="K36" s="13">
        <f t="shared" si="5"/>
        <v>0</v>
      </c>
      <c r="L36" s="13"/>
      <c r="M36" s="14">
        <v>-0.48</v>
      </c>
      <c r="N36" s="14">
        <v>0</v>
      </c>
      <c r="O36" s="14">
        <v>0</v>
      </c>
      <c r="P36" s="13"/>
      <c r="Q36" s="39">
        <v>0</v>
      </c>
      <c r="R36" s="39">
        <v>0</v>
      </c>
      <c r="S36" s="39">
        <v>0</v>
      </c>
    </row>
    <row r="37" spans="1:19" ht="12.75">
      <c r="A37" s="86">
        <f t="shared" si="0"/>
        <v>23</v>
      </c>
      <c r="B37" s="13" t="s">
        <v>231</v>
      </c>
      <c r="C37" s="13">
        <f t="shared" si="3"/>
        <v>112111.4</v>
      </c>
      <c r="D37" s="13">
        <f t="shared" si="1"/>
        <v>0</v>
      </c>
      <c r="E37" s="13"/>
      <c r="F37" s="13"/>
      <c r="G37" s="13">
        <f t="shared" si="2"/>
        <v>56056</v>
      </c>
      <c r="H37" s="87" t="str">
        <f t="shared" si="4"/>
        <v> </v>
      </c>
      <c r="I37" s="13">
        <f t="shared" si="5"/>
        <v>56055.7</v>
      </c>
      <c r="J37" s="13">
        <f t="shared" si="5"/>
        <v>0</v>
      </c>
      <c r="K37" s="13">
        <f t="shared" si="5"/>
        <v>0</v>
      </c>
      <c r="L37" s="13"/>
      <c r="M37" s="14">
        <v>112111.4</v>
      </c>
      <c r="N37" s="14">
        <v>0</v>
      </c>
      <c r="O37" s="14">
        <v>0</v>
      </c>
      <c r="P37" s="13"/>
      <c r="Q37" s="39">
        <v>0</v>
      </c>
      <c r="R37" s="39">
        <v>0</v>
      </c>
      <c r="S37" s="39">
        <v>0</v>
      </c>
    </row>
    <row r="38" spans="1:19" ht="12.75">
      <c r="A38" s="86">
        <f t="shared" si="0"/>
        <v>24</v>
      </c>
      <c r="B38" s="13" t="s">
        <v>232</v>
      </c>
      <c r="C38" s="13">
        <f t="shared" si="3"/>
        <v>7751</v>
      </c>
      <c r="D38" s="13">
        <f t="shared" si="1"/>
        <v>0</v>
      </c>
      <c r="E38" s="13"/>
      <c r="F38" s="13"/>
      <c r="G38" s="13">
        <f t="shared" si="2"/>
        <v>3876</v>
      </c>
      <c r="H38" s="87" t="str">
        <f t="shared" si="4"/>
        <v> </v>
      </c>
      <c r="I38" s="13">
        <f t="shared" si="5"/>
        <v>3875.5</v>
      </c>
      <c r="J38" s="13">
        <f t="shared" si="5"/>
        <v>0</v>
      </c>
      <c r="K38" s="13">
        <f t="shared" si="5"/>
        <v>0</v>
      </c>
      <c r="L38" s="13"/>
      <c r="M38" s="14">
        <v>7751</v>
      </c>
      <c r="N38" s="14">
        <v>0</v>
      </c>
      <c r="O38" s="14">
        <v>0</v>
      </c>
      <c r="P38" s="13"/>
      <c r="Q38" s="39">
        <v>0</v>
      </c>
      <c r="R38" s="39">
        <v>0</v>
      </c>
      <c r="S38" s="39">
        <v>0</v>
      </c>
    </row>
    <row r="39" spans="1:19" ht="12.75">
      <c r="A39" s="86">
        <f t="shared" si="0"/>
        <v>25</v>
      </c>
      <c r="B39" s="13" t="s">
        <v>234</v>
      </c>
      <c r="C39" s="13">
        <f t="shared" si="3"/>
        <v>39629.73</v>
      </c>
      <c r="D39" s="13">
        <f t="shared" si="1"/>
        <v>37672.29</v>
      </c>
      <c r="E39" s="13"/>
      <c r="F39" s="13"/>
      <c r="G39" s="13">
        <f t="shared" si="2"/>
        <v>38651</v>
      </c>
      <c r="H39" s="87" t="str">
        <f t="shared" si="4"/>
        <v> </v>
      </c>
      <c r="I39" s="13">
        <f t="shared" si="5"/>
        <v>0</v>
      </c>
      <c r="J39" s="13">
        <f t="shared" si="5"/>
        <v>0</v>
      </c>
      <c r="K39" s="13">
        <f t="shared" si="5"/>
        <v>38651.01</v>
      </c>
      <c r="L39" s="13"/>
      <c r="M39" s="14">
        <v>0</v>
      </c>
      <c r="N39" s="14">
        <v>0</v>
      </c>
      <c r="O39" s="14">
        <v>39629.73</v>
      </c>
      <c r="P39" s="13"/>
      <c r="Q39" s="39">
        <v>0</v>
      </c>
      <c r="R39" s="39">
        <v>0</v>
      </c>
      <c r="S39" s="39">
        <v>37672.29</v>
      </c>
    </row>
    <row r="40" spans="1:19" ht="12.75">
      <c r="A40" s="86">
        <f t="shared" si="0"/>
        <v>26</v>
      </c>
      <c r="B40" s="13" t="s">
        <v>500</v>
      </c>
      <c r="C40" s="13">
        <f t="shared" si="3"/>
        <v>151047.44</v>
      </c>
      <c r="D40" s="13">
        <f t="shared" si="1"/>
        <v>0</v>
      </c>
      <c r="E40" s="13"/>
      <c r="F40" s="13"/>
      <c r="G40" s="13">
        <f t="shared" si="2"/>
        <v>75524</v>
      </c>
      <c r="H40" s="87" t="str">
        <f t="shared" si="4"/>
        <v> </v>
      </c>
      <c r="I40" s="13">
        <f t="shared" si="5"/>
        <v>75523.72</v>
      </c>
      <c r="J40" s="13">
        <f t="shared" si="5"/>
        <v>0</v>
      </c>
      <c r="K40" s="13">
        <f t="shared" si="5"/>
        <v>0</v>
      </c>
      <c r="L40" s="13"/>
      <c r="M40" s="14">
        <v>151047.44</v>
      </c>
      <c r="N40" s="14">
        <v>0</v>
      </c>
      <c r="O40" s="14">
        <v>0</v>
      </c>
      <c r="P40" s="13"/>
      <c r="Q40" s="39">
        <v>0</v>
      </c>
      <c r="R40" s="39">
        <v>0</v>
      </c>
      <c r="S40" s="39">
        <v>0</v>
      </c>
    </row>
    <row r="41" spans="1:19" ht="12.75">
      <c r="A41" s="86">
        <f t="shared" si="0"/>
        <v>27</v>
      </c>
      <c r="B41" s="13" t="s">
        <v>501</v>
      </c>
      <c r="C41" s="13">
        <f t="shared" si="3"/>
        <v>352444.02</v>
      </c>
      <c r="D41" s="13">
        <f t="shared" si="1"/>
        <v>0</v>
      </c>
      <c r="E41" s="13"/>
      <c r="F41" s="13"/>
      <c r="G41" s="13">
        <f t="shared" si="2"/>
        <v>176222</v>
      </c>
      <c r="H41" s="87" t="str">
        <f t="shared" si="4"/>
        <v> </v>
      </c>
      <c r="I41" s="13">
        <f t="shared" si="5"/>
        <v>176222.01</v>
      </c>
      <c r="J41" s="13">
        <f t="shared" si="5"/>
        <v>0</v>
      </c>
      <c r="K41" s="13">
        <f t="shared" si="5"/>
        <v>0</v>
      </c>
      <c r="L41" s="13"/>
      <c r="M41" s="14">
        <v>352444.02</v>
      </c>
      <c r="N41" s="14">
        <v>0</v>
      </c>
      <c r="O41" s="14">
        <v>0</v>
      </c>
      <c r="P41" s="13"/>
      <c r="Q41" s="39">
        <v>0</v>
      </c>
      <c r="R41" s="39">
        <v>0</v>
      </c>
      <c r="S41" s="39">
        <v>0</v>
      </c>
    </row>
    <row r="42" spans="1:19" ht="12.75">
      <c r="A42" s="86">
        <f t="shared" si="0"/>
        <v>28</v>
      </c>
      <c r="B42" s="13" t="s">
        <v>236</v>
      </c>
      <c r="C42" s="13">
        <f t="shared" si="3"/>
        <v>113180.08</v>
      </c>
      <c r="D42" s="13">
        <f t="shared" si="1"/>
        <v>0</v>
      </c>
      <c r="E42" s="13"/>
      <c r="F42" s="13"/>
      <c r="G42" s="13">
        <f t="shared" si="2"/>
        <v>56590</v>
      </c>
      <c r="H42" s="87" t="str">
        <f t="shared" si="4"/>
        <v> </v>
      </c>
      <c r="I42" s="13">
        <f t="shared" si="5"/>
        <v>56590.04</v>
      </c>
      <c r="J42" s="13">
        <f t="shared" si="5"/>
        <v>0</v>
      </c>
      <c r="K42" s="13">
        <f t="shared" si="5"/>
        <v>0</v>
      </c>
      <c r="L42" s="13"/>
      <c r="M42" s="14">
        <v>113180.08</v>
      </c>
      <c r="N42" s="14">
        <v>0</v>
      </c>
      <c r="O42" s="14">
        <v>0</v>
      </c>
      <c r="P42" s="13"/>
      <c r="Q42" s="39">
        <v>0</v>
      </c>
      <c r="R42" s="39">
        <v>0</v>
      </c>
      <c r="S42" s="39">
        <v>0</v>
      </c>
    </row>
    <row r="43" spans="1:19" ht="12.75">
      <c r="A43" s="86">
        <f t="shared" si="0"/>
        <v>29</v>
      </c>
      <c r="B43" s="13" t="s">
        <v>238</v>
      </c>
      <c r="C43" s="13">
        <f t="shared" si="3"/>
        <v>4489.45</v>
      </c>
      <c r="D43" s="13">
        <f t="shared" si="1"/>
        <v>2612.05</v>
      </c>
      <c r="E43" s="13"/>
      <c r="F43" s="13"/>
      <c r="G43" s="13">
        <f t="shared" si="2"/>
        <v>3551</v>
      </c>
      <c r="H43" s="87" t="str">
        <f t="shared" si="4"/>
        <v> </v>
      </c>
      <c r="I43" s="13">
        <f t="shared" si="5"/>
        <v>0</v>
      </c>
      <c r="J43" s="13">
        <f t="shared" si="5"/>
        <v>0.3</v>
      </c>
      <c r="K43" s="13">
        <f t="shared" si="5"/>
        <v>3550.45</v>
      </c>
      <c r="L43" s="13"/>
      <c r="M43" s="14">
        <v>0</v>
      </c>
      <c r="N43" s="14">
        <v>0.3</v>
      </c>
      <c r="O43" s="14">
        <v>4489.15</v>
      </c>
      <c r="P43" s="13"/>
      <c r="Q43" s="39">
        <v>0</v>
      </c>
      <c r="R43" s="39">
        <v>0.3</v>
      </c>
      <c r="S43" s="39">
        <v>2611.75</v>
      </c>
    </row>
    <row r="44" spans="1:19" ht="12.75">
      <c r="A44" s="86">
        <f t="shared" si="0"/>
        <v>30</v>
      </c>
      <c r="B44" s="13" t="s">
        <v>240</v>
      </c>
      <c r="C44" s="13">
        <f t="shared" si="3"/>
        <v>-388965.88</v>
      </c>
      <c r="D44" s="13">
        <f t="shared" si="1"/>
        <v>-272096.22000000003</v>
      </c>
      <c r="E44" s="13"/>
      <c r="F44" s="13"/>
      <c r="G44" s="13">
        <f t="shared" si="2"/>
        <v>-330531</v>
      </c>
      <c r="H44" s="87" t="str">
        <f t="shared" si="4"/>
        <v> </v>
      </c>
      <c r="I44" s="13">
        <f t="shared" si="5"/>
        <v>0</v>
      </c>
      <c r="J44" s="13">
        <f t="shared" si="5"/>
        <v>16147.994999999999</v>
      </c>
      <c r="K44" s="13">
        <f t="shared" si="5"/>
        <v>-346679.04500000004</v>
      </c>
      <c r="L44" s="13"/>
      <c r="M44" s="14">
        <v>0</v>
      </c>
      <c r="N44" s="14">
        <v>13863.62</v>
      </c>
      <c r="O44" s="14">
        <v>-402829.5</v>
      </c>
      <c r="P44" s="13"/>
      <c r="Q44" s="39">
        <v>0</v>
      </c>
      <c r="R44" s="39">
        <v>18432.37</v>
      </c>
      <c r="S44" s="39">
        <v>-290528.59</v>
      </c>
    </row>
    <row r="45" spans="1:19" ht="12.75">
      <c r="A45" s="86">
        <f t="shared" si="0"/>
        <v>31</v>
      </c>
      <c r="B45" s="13" t="s">
        <v>241</v>
      </c>
      <c r="C45" s="13">
        <f t="shared" si="3"/>
        <v>271336.1</v>
      </c>
      <c r="D45" s="13">
        <f t="shared" si="1"/>
        <v>271336.1</v>
      </c>
      <c r="E45" s="13"/>
      <c r="F45" s="13"/>
      <c r="G45" s="13">
        <f t="shared" si="2"/>
        <v>271336</v>
      </c>
      <c r="H45" s="87" t="str">
        <f t="shared" si="4"/>
        <v> </v>
      </c>
      <c r="I45" s="13">
        <f t="shared" si="5"/>
        <v>0</v>
      </c>
      <c r="J45" s="13">
        <f t="shared" si="5"/>
        <v>20636.7</v>
      </c>
      <c r="K45" s="13">
        <f t="shared" si="5"/>
        <v>250699.4</v>
      </c>
      <c r="L45" s="13"/>
      <c r="M45" s="14">
        <v>0</v>
      </c>
      <c r="N45" s="14">
        <v>20636.7</v>
      </c>
      <c r="O45" s="14">
        <v>250699.4</v>
      </c>
      <c r="P45" s="13"/>
      <c r="Q45" s="39">
        <v>0</v>
      </c>
      <c r="R45" s="39">
        <v>20636.7</v>
      </c>
      <c r="S45" s="39">
        <v>250699.4</v>
      </c>
    </row>
    <row r="46" spans="1:19" ht="12.75">
      <c r="A46" s="86">
        <f t="shared" si="0"/>
        <v>32</v>
      </c>
      <c r="B46" s="13" t="s">
        <v>243</v>
      </c>
      <c r="C46" s="13">
        <f t="shared" si="3"/>
        <v>-0.45</v>
      </c>
      <c r="D46" s="13">
        <f t="shared" si="1"/>
        <v>195213.03</v>
      </c>
      <c r="E46" s="13"/>
      <c r="F46" s="13"/>
      <c r="G46" s="13">
        <f t="shared" si="2"/>
        <v>97606</v>
      </c>
      <c r="H46" s="87" t="str">
        <f t="shared" si="4"/>
        <v> </v>
      </c>
      <c r="I46" s="13">
        <f t="shared" si="5"/>
        <v>0</v>
      </c>
      <c r="J46" s="13">
        <f t="shared" si="5"/>
        <v>0</v>
      </c>
      <c r="K46" s="13">
        <f t="shared" si="5"/>
        <v>97606.29</v>
      </c>
      <c r="L46" s="13"/>
      <c r="M46" s="14">
        <v>0</v>
      </c>
      <c r="N46" s="14">
        <v>0</v>
      </c>
      <c r="O46" s="14">
        <v>-0.45</v>
      </c>
      <c r="P46" s="13"/>
      <c r="Q46" s="39">
        <v>0</v>
      </c>
      <c r="R46" s="39">
        <v>0</v>
      </c>
      <c r="S46" s="39">
        <v>195213.03</v>
      </c>
    </row>
    <row r="47" spans="1:19" ht="12.75">
      <c r="A47" s="86">
        <f t="shared" si="0"/>
        <v>33</v>
      </c>
      <c r="B47" s="13" t="s">
        <v>244</v>
      </c>
      <c r="C47" s="13">
        <f t="shared" si="3"/>
        <v>1149133.79</v>
      </c>
      <c r="D47" s="13">
        <f t="shared" si="1"/>
        <v>45583.82</v>
      </c>
      <c r="E47" s="13"/>
      <c r="F47" s="13"/>
      <c r="G47" s="13">
        <f t="shared" si="2"/>
        <v>597359</v>
      </c>
      <c r="H47" s="87" t="str">
        <f t="shared" si="4"/>
        <v> </v>
      </c>
      <c r="I47" s="13">
        <f t="shared" si="5"/>
        <v>550321.025</v>
      </c>
      <c r="J47" s="13">
        <f t="shared" si="5"/>
        <v>4634.505</v>
      </c>
      <c r="K47" s="13">
        <f t="shared" si="5"/>
        <v>42403.275</v>
      </c>
      <c r="L47" s="13"/>
      <c r="M47" s="14">
        <v>1100642.05</v>
      </c>
      <c r="N47" s="14">
        <v>4777.76</v>
      </c>
      <c r="O47" s="14">
        <v>43713.98</v>
      </c>
      <c r="P47" s="13"/>
      <c r="Q47" s="39">
        <v>0</v>
      </c>
      <c r="R47" s="39">
        <v>4491.25</v>
      </c>
      <c r="S47" s="39">
        <v>41092.57</v>
      </c>
    </row>
    <row r="48" spans="1:19" ht="12.75">
      <c r="A48" s="86">
        <f t="shared" si="0"/>
        <v>34</v>
      </c>
      <c r="B48" s="13" t="s">
        <v>249</v>
      </c>
      <c r="C48" s="13">
        <f t="shared" si="3"/>
        <v>-17105.9</v>
      </c>
      <c r="D48" s="13">
        <f t="shared" si="1"/>
        <v>-17100.65</v>
      </c>
      <c r="E48" s="13"/>
      <c r="F48" s="13"/>
      <c r="G48" s="13">
        <f t="shared" si="2"/>
        <v>-17103</v>
      </c>
      <c r="H48" s="87" t="str">
        <f t="shared" si="4"/>
        <v> </v>
      </c>
      <c r="I48" s="13">
        <f t="shared" si="5"/>
        <v>0</v>
      </c>
      <c r="J48" s="13">
        <f t="shared" si="5"/>
        <v>-3420.725</v>
      </c>
      <c r="K48" s="13">
        <f t="shared" si="5"/>
        <v>-13682.55</v>
      </c>
      <c r="L48" s="13"/>
      <c r="M48" s="14">
        <v>0</v>
      </c>
      <c r="N48" s="14">
        <v>-3421.25</v>
      </c>
      <c r="O48" s="14">
        <v>-13684.65</v>
      </c>
      <c r="P48" s="13"/>
      <c r="Q48" s="39">
        <v>0</v>
      </c>
      <c r="R48" s="39">
        <v>-3420.2</v>
      </c>
      <c r="S48" s="39">
        <v>-13680.45</v>
      </c>
    </row>
    <row r="49" spans="1:19" ht="12.75">
      <c r="A49" s="86">
        <f t="shared" si="0"/>
        <v>35</v>
      </c>
      <c r="B49" s="13" t="s">
        <v>10</v>
      </c>
      <c r="C49" s="13">
        <f t="shared" si="3"/>
        <v>3687346.5999999996</v>
      </c>
      <c r="D49" s="13">
        <f t="shared" si="1"/>
        <v>0</v>
      </c>
      <c r="E49" s="13"/>
      <c r="F49" s="13"/>
      <c r="G49" s="13">
        <f t="shared" si="2"/>
        <v>1843673</v>
      </c>
      <c r="H49" s="87" t="str">
        <f t="shared" si="4"/>
        <v> </v>
      </c>
      <c r="I49" s="13">
        <f t="shared" si="5"/>
        <v>1843673.2999999998</v>
      </c>
      <c r="J49" s="13">
        <f t="shared" si="5"/>
        <v>0</v>
      </c>
      <c r="K49" s="13">
        <f t="shared" si="5"/>
        <v>0</v>
      </c>
      <c r="L49" s="13"/>
      <c r="M49" s="14">
        <v>3687346.5999999996</v>
      </c>
      <c r="N49" s="14">
        <v>0</v>
      </c>
      <c r="O49" s="14">
        <v>0</v>
      </c>
      <c r="P49" s="13"/>
      <c r="Q49" s="39">
        <v>0</v>
      </c>
      <c r="R49" s="39">
        <v>0</v>
      </c>
      <c r="S49" s="39">
        <v>0</v>
      </c>
    </row>
    <row r="50" spans="1:19" ht="12.75">
      <c r="A50" s="86">
        <f t="shared" si="0"/>
        <v>36</v>
      </c>
      <c r="B50" s="13" t="s">
        <v>250</v>
      </c>
      <c r="C50" s="13">
        <f t="shared" si="3"/>
        <v>0</v>
      </c>
      <c r="D50" s="13">
        <f t="shared" si="1"/>
        <v>0</v>
      </c>
      <c r="E50" s="13"/>
      <c r="F50" s="13"/>
      <c r="G50" s="13">
        <f t="shared" si="2"/>
        <v>0</v>
      </c>
      <c r="H50" s="87" t="str">
        <f t="shared" si="4"/>
        <v> </v>
      </c>
      <c r="I50" s="13">
        <f t="shared" si="5"/>
        <v>0</v>
      </c>
      <c r="J50" s="13">
        <f t="shared" si="5"/>
        <v>0</v>
      </c>
      <c r="K50" s="13">
        <f t="shared" si="5"/>
        <v>0</v>
      </c>
      <c r="L50" s="13"/>
      <c r="M50" s="14">
        <v>0</v>
      </c>
      <c r="N50" s="14">
        <v>0</v>
      </c>
      <c r="O50" s="14">
        <v>0</v>
      </c>
      <c r="P50" s="13"/>
      <c r="Q50" s="39">
        <v>0</v>
      </c>
      <c r="R50" s="39">
        <v>0</v>
      </c>
      <c r="S50" s="39">
        <v>0</v>
      </c>
    </row>
    <row r="51" spans="1:19" ht="12.75">
      <c r="A51" s="86">
        <f t="shared" si="0"/>
        <v>37</v>
      </c>
      <c r="B51" s="13" t="s">
        <v>252</v>
      </c>
      <c r="C51" s="13">
        <f t="shared" si="3"/>
        <v>1.3000000000029104</v>
      </c>
      <c r="D51" s="13">
        <f t="shared" si="1"/>
        <v>1.3000000000029104</v>
      </c>
      <c r="E51" s="13"/>
      <c r="F51" s="13"/>
      <c r="G51" s="13">
        <f t="shared" si="2"/>
        <v>1</v>
      </c>
      <c r="H51" s="87" t="str">
        <f t="shared" si="4"/>
        <v> </v>
      </c>
      <c r="I51" s="13">
        <f t="shared" si="5"/>
        <v>0</v>
      </c>
      <c r="J51" s="13">
        <f t="shared" si="5"/>
        <v>0.25</v>
      </c>
      <c r="K51" s="13">
        <f t="shared" si="5"/>
        <v>1.0500000000029104</v>
      </c>
      <c r="L51" s="13"/>
      <c r="M51" s="14">
        <v>0</v>
      </c>
      <c r="N51" s="14">
        <v>0.25</v>
      </c>
      <c r="O51" s="14">
        <v>1.0500000000029104</v>
      </c>
      <c r="P51" s="13"/>
      <c r="Q51" s="39">
        <v>0</v>
      </c>
      <c r="R51" s="39">
        <f>-38732.75+38733</f>
        <v>0.25</v>
      </c>
      <c r="S51" s="39">
        <f>-90725.95+90727</f>
        <v>1.0500000000029104</v>
      </c>
    </row>
    <row r="52" spans="1:19" ht="12.75">
      <c r="A52" s="86">
        <f t="shared" si="0"/>
        <v>38</v>
      </c>
      <c r="B52" s="13" t="s">
        <v>253</v>
      </c>
      <c r="C52" s="13">
        <f t="shared" si="3"/>
        <v>22333.5</v>
      </c>
      <c r="D52" s="13">
        <f t="shared" si="1"/>
        <v>22333.5</v>
      </c>
      <c r="E52" s="13"/>
      <c r="F52" s="13"/>
      <c r="G52" s="13">
        <f t="shared" si="2"/>
        <v>22334</v>
      </c>
      <c r="H52" s="87" t="str">
        <f t="shared" si="4"/>
        <v> </v>
      </c>
      <c r="I52" s="13">
        <f t="shared" si="5"/>
        <v>0</v>
      </c>
      <c r="J52" s="13">
        <f t="shared" si="5"/>
        <v>4466.7</v>
      </c>
      <c r="K52" s="13">
        <f t="shared" si="5"/>
        <v>17866.8</v>
      </c>
      <c r="L52" s="13"/>
      <c r="M52" s="14">
        <v>0</v>
      </c>
      <c r="N52" s="14">
        <v>4466.7</v>
      </c>
      <c r="O52" s="14">
        <v>17866.8</v>
      </c>
      <c r="P52" s="13"/>
      <c r="Q52" s="39">
        <v>0</v>
      </c>
      <c r="R52" s="39">
        <v>4466.7</v>
      </c>
      <c r="S52" s="39">
        <v>17866.8</v>
      </c>
    </row>
    <row r="53" spans="1:19" ht="12.75">
      <c r="A53" s="86">
        <f t="shared" si="0"/>
        <v>39</v>
      </c>
      <c r="B53" s="13" t="s">
        <v>256</v>
      </c>
      <c r="C53" s="13">
        <f t="shared" si="3"/>
        <v>2369.1</v>
      </c>
      <c r="D53" s="13">
        <f t="shared" si="1"/>
        <v>2369.1</v>
      </c>
      <c r="E53" s="13"/>
      <c r="F53" s="13"/>
      <c r="G53" s="13">
        <f t="shared" si="2"/>
        <v>2369</v>
      </c>
      <c r="H53" s="87" t="str">
        <f t="shared" si="4"/>
        <v> </v>
      </c>
      <c r="I53" s="13">
        <f t="shared" si="5"/>
        <v>0</v>
      </c>
      <c r="J53" s="13">
        <f t="shared" si="5"/>
        <v>0</v>
      </c>
      <c r="K53" s="13">
        <f t="shared" si="5"/>
        <v>2369.1</v>
      </c>
      <c r="L53" s="13"/>
      <c r="M53" s="14">
        <v>0</v>
      </c>
      <c r="N53" s="14">
        <v>0</v>
      </c>
      <c r="O53" s="14">
        <v>2369.1</v>
      </c>
      <c r="P53" s="13"/>
      <c r="Q53" s="39">
        <v>0</v>
      </c>
      <c r="R53" s="39">
        <v>0</v>
      </c>
      <c r="S53" s="39">
        <v>2369.1</v>
      </c>
    </row>
    <row r="54" spans="1:19" ht="12.75">
      <c r="A54" s="86">
        <f t="shared" si="0"/>
        <v>40</v>
      </c>
      <c r="B54" s="13" t="s">
        <v>259</v>
      </c>
      <c r="C54" s="13">
        <f t="shared" si="3"/>
        <v>-3434.9</v>
      </c>
      <c r="D54" s="13">
        <f t="shared" si="1"/>
        <v>-3223.5</v>
      </c>
      <c r="E54" s="13"/>
      <c r="F54" s="13"/>
      <c r="G54" s="13">
        <f t="shared" si="2"/>
        <v>-3329</v>
      </c>
      <c r="H54" s="87" t="str">
        <f t="shared" si="4"/>
        <v> </v>
      </c>
      <c r="I54" s="13">
        <f t="shared" si="5"/>
        <v>0</v>
      </c>
      <c r="J54" s="13">
        <f t="shared" si="5"/>
        <v>0</v>
      </c>
      <c r="K54" s="13">
        <f t="shared" si="5"/>
        <v>-3329.2</v>
      </c>
      <c r="L54" s="13"/>
      <c r="M54" s="14">
        <v>0</v>
      </c>
      <c r="N54" s="14">
        <v>0</v>
      </c>
      <c r="O54" s="14">
        <v>-3434.9</v>
      </c>
      <c r="P54" s="13"/>
      <c r="Q54" s="39">
        <v>0</v>
      </c>
      <c r="R54" s="39">
        <v>0</v>
      </c>
      <c r="S54" s="39">
        <v>-3223.5</v>
      </c>
    </row>
    <row r="55" spans="1:19" ht="12.75">
      <c r="A55" s="86">
        <f t="shared" si="0"/>
        <v>41</v>
      </c>
      <c r="B55" s="13" t="s">
        <v>260</v>
      </c>
      <c r="C55" s="13">
        <f t="shared" si="3"/>
        <v>101</v>
      </c>
      <c r="D55" s="13">
        <f t="shared" si="1"/>
        <v>101</v>
      </c>
      <c r="E55" s="13"/>
      <c r="F55" s="13"/>
      <c r="G55" s="13">
        <f t="shared" si="2"/>
        <v>101</v>
      </c>
      <c r="H55" s="87" t="str">
        <f t="shared" si="4"/>
        <v> </v>
      </c>
      <c r="I55" s="13">
        <f t="shared" si="5"/>
        <v>0</v>
      </c>
      <c r="J55" s="13">
        <f t="shared" si="5"/>
        <v>101</v>
      </c>
      <c r="K55" s="13">
        <f t="shared" si="5"/>
        <v>0</v>
      </c>
      <c r="L55" s="13"/>
      <c r="M55" s="14">
        <v>0</v>
      </c>
      <c r="N55" s="14">
        <v>101</v>
      </c>
      <c r="O55" s="14">
        <v>0</v>
      </c>
      <c r="P55" s="13"/>
      <c r="Q55" s="39">
        <v>0</v>
      </c>
      <c r="R55" s="39">
        <v>101</v>
      </c>
      <c r="S55" s="39">
        <v>0</v>
      </c>
    </row>
    <row r="56" spans="1:19" ht="12.75">
      <c r="A56" s="86">
        <f t="shared" si="0"/>
        <v>42</v>
      </c>
      <c r="B56" s="13" t="s">
        <v>634</v>
      </c>
      <c r="C56" s="51">
        <v>44439.11</v>
      </c>
      <c r="D56" s="51">
        <v>5538.91</v>
      </c>
      <c r="E56" s="13">
        <f aca="true" t="shared" si="6" ref="E56:F58">-C56</f>
        <v>-44439.11</v>
      </c>
      <c r="F56" s="13">
        <f t="shared" si="6"/>
        <v>-5538.91</v>
      </c>
      <c r="G56" s="13">
        <f>ROUND(SUM(C56:F56)/2,0)</f>
        <v>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.75">
      <c r="A57" s="86">
        <f t="shared" si="0"/>
        <v>43</v>
      </c>
      <c r="B57" s="13" t="s">
        <v>262</v>
      </c>
      <c r="C57" s="51">
        <f>13975697.15-37898</f>
        <v>13937799.15</v>
      </c>
      <c r="D57" s="51">
        <v>3539774.56</v>
      </c>
      <c r="E57" s="13">
        <f t="shared" si="6"/>
        <v>-13937799.15</v>
      </c>
      <c r="F57" s="13">
        <f t="shared" si="6"/>
        <v>-3539774.56</v>
      </c>
      <c r="G57" s="13">
        <f>ROUND(SUM(C57:F57)/2,0)</f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.75">
      <c r="A58" s="86">
        <f t="shared" si="0"/>
        <v>44</v>
      </c>
      <c r="B58" s="13" t="s">
        <v>263</v>
      </c>
      <c r="C58" s="51">
        <v>-1192.68</v>
      </c>
      <c r="D58" s="51">
        <v>-1327.3</v>
      </c>
      <c r="E58" s="13">
        <f t="shared" si="6"/>
        <v>1192.68</v>
      </c>
      <c r="F58" s="13">
        <f t="shared" si="6"/>
        <v>1327.3</v>
      </c>
      <c r="G58" s="13">
        <f>ROUND(SUM(C58:F58)/2,0)</f>
        <v>0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.75">
      <c r="A59" s="86">
        <f t="shared" si="0"/>
        <v>45</v>
      </c>
      <c r="B59" s="4" t="s">
        <v>635</v>
      </c>
      <c r="C59" s="51">
        <v>-33341.96</v>
      </c>
      <c r="D59" s="51">
        <v>-415789.76</v>
      </c>
      <c r="E59" s="13">
        <f>-C59</f>
        <v>33341.96</v>
      </c>
      <c r="F59" s="13">
        <f>-D59</f>
        <v>415789.76</v>
      </c>
      <c r="G59" s="13">
        <f>ROUND(SUM(C59:F59)/2,0)</f>
        <v>0</v>
      </c>
      <c r="H59" s="88"/>
      <c r="I59" s="13"/>
      <c r="J59" s="13"/>
      <c r="K59" s="13"/>
      <c r="L59" s="88"/>
      <c r="M59" s="13"/>
      <c r="N59" s="13"/>
      <c r="O59" s="13"/>
      <c r="P59" s="13"/>
      <c r="Q59" s="13"/>
      <c r="R59" s="13"/>
      <c r="S59" s="13"/>
    </row>
    <row r="60" spans="1:19" ht="12.75">
      <c r="A60" s="86">
        <f t="shared" si="0"/>
        <v>46</v>
      </c>
      <c r="B60" s="13" t="s">
        <v>265</v>
      </c>
      <c r="C60" s="51">
        <v>0</v>
      </c>
      <c r="D60" s="51">
        <v>0</v>
      </c>
      <c r="E60" s="13">
        <f>-C60</f>
        <v>0</v>
      </c>
      <c r="F60" s="13">
        <f>-D60</f>
        <v>0</v>
      </c>
      <c r="G60" s="13">
        <f>ROUND(SUM(C60:F60)/2,0)</f>
        <v>0</v>
      </c>
      <c r="H60" s="88"/>
      <c r="I60" s="13"/>
      <c r="J60" s="13"/>
      <c r="K60" s="13"/>
      <c r="L60" s="88"/>
      <c r="M60" s="13"/>
      <c r="N60" s="13"/>
      <c r="O60" s="13"/>
      <c r="P60" s="13"/>
      <c r="Q60" s="13"/>
      <c r="R60" s="13"/>
      <c r="S60" s="13"/>
    </row>
    <row r="61" spans="1:19" ht="12.75">
      <c r="A61" s="86">
        <f t="shared" si="0"/>
        <v>47</v>
      </c>
      <c r="B61" s="13"/>
      <c r="C61" s="13"/>
      <c r="D61" s="13"/>
      <c r="E61" s="13"/>
      <c r="F61" s="13"/>
      <c r="G61" s="13"/>
      <c r="H61" s="88"/>
      <c r="I61" s="13"/>
      <c r="J61" s="13"/>
      <c r="K61" s="13"/>
      <c r="L61" s="88"/>
      <c r="M61" s="13"/>
      <c r="N61" s="13"/>
      <c r="O61" s="13"/>
      <c r="P61" s="13"/>
      <c r="Q61" s="13"/>
      <c r="R61" s="13"/>
      <c r="S61" s="13"/>
    </row>
    <row r="62" spans="1:19" ht="13.5" thickBot="1">
      <c r="A62" s="86">
        <f t="shared" si="0"/>
        <v>48</v>
      </c>
      <c r="B62" s="13" t="s">
        <v>273</v>
      </c>
      <c r="C62" s="89">
        <f>SUM(C17:C61)</f>
        <v>22580544.119999997</v>
      </c>
      <c r="D62" s="89">
        <f>SUM(D17:D61)</f>
        <v>6020005.660000001</v>
      </c>
      <c r="E62" s="89">
        <f>SUM(E17:E61)</f>
        <v>-13947703.62</v>
      </c>
      <c r="F62" s="89">
        <f>SUM(F17:F61)</f>
        <v>-3128196.41</v>
      </c>
      <c r="G62" s="89">
        <f>SUM(G17:G61)</f>
        <v>5762328</v>
      </c>
      <c r="H62" s="88"/>
      <c r="I62" s="89">
        <f>SUM(I17:I61)</f>
        <v>2981316.165</v>
      </c>
      <c r="J62" s="89">
        <f>SUM(J17:J61)</f>
        <v>922052.615</v>
      </c>
      <c r="K62" s="89">
        <f>SUM(K17:K61)</f>
        <v>1858956.0949999997</v>
      </c>
      <c r="L62" s="88"/>
      <c r="M62" s="89">
        <f>SUM(M17:M61)</f>
        <v>5962632.33</v>
      </c>
      <c r="N62" s="89">
        <f>SUM(N17:N61)</f>
        <v>904595.8599999999</v>
      </c>
      <c r="O62" s="89">
        <f>SUM(O17:O61)</f>
        <v>1765612.31</v>
      </c>
      <c r="P62" s="13"/>
      <c r="Q62" s="89">
        <f>SUM(Q17:Q61)</f>
        <v>0</v>
      </c>
      <c r="R62" s="89">
        <f>SUM(R17:R61)</f>
        <v>939509.37</v>
      </c>
      <c r="S62" s="89">
        <f>SUM(S17:S61)</f>
        <v>1952299.8800000001</v>
      </c>
    </row>
    <row r="63" ht="13.5" thickTop="1"/>
  </sheetData>
  <sheetProtection/>
  <printOptions/>
  <pageMargins left="0.5" right="0.25" top="0.75" bottom="0.5" header="0.25" footer="0.25"/>
  <pageSetup horizontalDpi="600" verticalDpi="600" orientation="portrait" scale="75" r:id="rId3"/>
  <headerFooter alignWithMargins="0">
    <oddHeader>&amp;RSTATEMENT AG-3
Page &amp;P of &amp;N</oddHeader>
  </headerFooter>
  <colBreaks count="2" manualBreakCount="2">
    <brk id="11" min="14" max="45" man="1"/>
    <brk id="15" min="14" max="4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9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5" sqref="B25"/>
    </sheetView>
  </sheetViews>
  <sheetFormatPr defaultColWidth="12.7109375" defaultRowHeight="12.75"/>
  <cols>
    <col min="1" max="1" width="4.7109375" style="27" customWidth="1"/>
    <col min="2" max="2" width="54.7109375" style="1" customWidth="1"/>
    <col min="3" max="7" width="15.7109375" style="28" customWidth="1"/>
    <col min="8" max="8" width="2.7109375" style="28" customWidth="1"/>
    <col min="9" max="11" width="15.7109375" style="28" customWidth="1"/>
    <col min="12" max="12" width="2.7109375" style="28" customWidth="1"/>
    <col min="13" max="15" width="15.7109375" style="1" customWidth="1"/>
    <col min="16" max="16" width="2.7109375" style="1" customWidth="1"/>
    <col min="17" max="19" width="15.7109375" style="1" customWidth="1"/>
    <col min="20" max="20" width="17.7109375" style="28" bestFit="1" customWidth="1"/>
    <col min="21" max="16384" width="12.7109375" style="28" customWidth="1"/>
  </cols>
  <sheetData>
    <row r="1" spans="2:20" ht="12.75">
      <c r="B1" s="26" t="s">
        <v>181</v>
      </c>
      <c r="F1" s="1"/>
      <c r="G1" s="7"/>
      <c r="H1" s="7"/>
      <c r="I1" s="7"/>
      <c r="J1" s="7"/>
      <c r="K1" s="7"/>
      <c r="L1" s="7"/>
      <c r="O1" s="7"/>
      <c r="S1" s="7"/>
      <c r="T1" s="7"/>
    </row>
    <row r="2" spans="2:20" ht="12.75">
      <c r="B2" s="26" t="s">
        <v>182</v>
      </c>
      <c r="G2" s="29"/>
      <c r="H2" s="29"/>
      <c r="I2" s="29"/>
      <c r="J2" s="29"/>
      <c r="K2" s="29"/>
      <c r="L2" s="29"/>
      <c r="O2" s="29"/>
      <c r="S2" s="29"/>
      <c r="T2" s="29"/>
    </row>
    <row r="3" ht="12.75">
      <c r="B3" s="26" t="s">
        <v>179</v>
      </c>
    </row>
    <row r="4" spans="2:7" ht="12.75">
      <c r="B4" s="5"/>
      <c r="G4" s="30" t="s">
        <v>183</v>
      </c>
    </row>
    <row r="5" ht="12.75">
      <c r="B5" s="24"/>
    </row>
    <row r="6" spans="8:12" ht="12.75">
      <c r="H6" s="30"/>
      <c r="I6" s="30"/>
      <c r="J6" s="30"/>
      <c r="K6" s="30"/>
      <c r="L6" s="30"/>
    </row>
    <row r="7" ht="12.75"/>
    <row r="8" spans="2:19" ht="12.75">
      <c r="B8" s="18" t="s">
        <v>177</v>
      </c>
      <c r="C8" s="31" t="s">
        <v>176</v>
      </c>
      <c r="D8" s="31" t="s">
        <v>175</v>
      </c>
      <c r="E8" s="31" t="s">
        <v>174</v>
      </c>
      <c r="F8" s="31" t="s">
        <v>173</v>
      </c>
      <c r="G8" s="31" t="s">
        <v>172</v>
      </c>
      <c r="H8" s="31"/>
      <c r="I8" s="31" t="s">
        <v>171</v>
      </c>
      <c r="J8" s="31" t="s">
        <v>170</v>
      </c>
      <c r="K8" s="31" t="s">
        <v>169</v>
      </c>
      <c r="L8" s="31"/>
      <c r="M8" s="18" t="s">
        <v>168</v>
      </c>
      <c r="N8" s="18" t="s">
        <v>167</v>
      </c>
      <c r="O8" s="18" t="s">
        <v>166</v>
      </c>
      <c r="Q8" s="18" t="s">
        <v>165</v>
      </c>
      <c r="R8" s="18" t="s">
        <v>164</v>
      </c>
      <c r="S8" s="18" t="s">
        <v>163</v>
      </c>
    </row>
    <row r="9" ht="12.75"/>
    <row r="10" spans="3:19" ht="12.75">
      <c r="C10" s="32" t="s">
        <v>162</v>
      </c>
      <c r="D10" s="32"/>
      <c r="E10" s="33" t="s">
        <v>161</v>
      </c>
      <c r="F10" s="32"/>
      <c r="G10" s="34" t="s">
        <v>160</v>
      </c>
      <c r="H10" s="34"/>
      <c r="I10" s="35" t="s">
        <v>159</v>
      </c>
      <c r="J10" s="32"/>
      <c r="K10" s="32"/>
      <c r="L10" s="34"/>
      <c r="M10" s="36" t="s">
        <v>158</v>
      </c>
      <c r="N10" s="21"/>
      <c r="O10" s="21"/>
      <c r="Q10" s="36" t="s">
        <v>157</v>
      </c>
      <c r="R10" s="21"/>
      <c r="S10" s="21"/>
    </row>
    <row r="11" spans="3:19" ht="12.75">
      <c r="C11" s="37"/>
      <c r="D11" s="37"/>
      <c r="G11" s="34" t="s">
        <v>156</v>
      </c>
      <c r="H11" s="34"/>
      <c r="I11" s="37"/>
      <c r="J11" s="37"/>
      <c r="K11" s="37"/>
      <c r="L11" s="34"/>
      <c r="M11" s="20"/>
      <c r="N11" s="20"/>
      <c r="O11" s="20"/>
      <c r="Q11" s="20"/>
      <c r="R11" s="20"/>
      <c r="S11" s="20"/>
    </row>
    <row r="12" spans="3:12" ht="12.75">
      <c r="C12" s="34" t="s">
        <v>155</v>
      </c>
      <c r="D12" s="34" t="s">
        <v>155</v>
      </c>
      <c r="E12" s="34" t="s">
        <v>155</v>
      </c>
      <c r="F12" s="34" t="s">
        <v>155</v>
      </c>
      <c r="G12" s="34" t="s">
        <v>154</v>
      </c>
      <c r="H12" s="34"/>
      <c r="L12" s="34"/>
    </row>
    <row r="13" spans="2:19" ht="12.75">
      <c r="B13" s="18" t="s">
        <v>153</v>
      </c>
      <c r="C13" s="31" t="s">
        <v>152</v>
      </c>
      <c r="D13" s="31" t="s">
        <v>151</v>
      </c>
      <c r="E13" s="31" t="str">
        <f>C13</f>
        <v>OF 12-31-15</v>
      </c>
      <c r="F13" s="31" t="str">
        <f>D13</f>
        <v>OF 12-31-14</v>
      </c>
      <c r="G13" s="31" t="s">
        <v>150</v>
      </c>
      <c r="H13" s="31"/>
      <c r="I13" s="31" t="s">
        <v>149</v>
      </c>
      <c r="J13" s="31" t="s">
        <v>148</v>
      </c>
      <c r="K13" s="31" t="s">
        <v>147</v>
      </c>
      <c r="L13" s="31"/>
      <c r="M13" s="18" t="s">
        <v>149</v>
      </c>
      <c r="N13" s="18" t="s">
        <v>148</v>
      </c>
      <c r="O13" s="18" t="s">
        <v>147</v>
      </c>
      <c r="Q13" s="18" t="s">
        <v>149</v>
      </c>
      <c r="R13" s="18" t="s">
        <v>148</v>
      </c>
      <c r="S13" s="18" t="s">
        <v>147</v>
      </c>
    </row>
    <row r="14" ht="12.75"/>
    <row r="15" spans="1:27" ht="12.75">
      <c r="A15" s="38">
        <v>1</v>
      </c>
      <c r="B15" s="11" t="s">
        <v>184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  <c r="AA15" s="1"/>
    </row>
    <row r="16" spans="1:27" ht="12.75">
      <c r="A16" s="38">
        <f aca="true" t="shared" si="0" ref="A16:A79">A15+1</f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  <c r="AA16" s="1"/>
    </row>
    <row r="17" spans="1:27" ht="12.75">
      <c r="A17" s="38">
        <f t="shared" si="0"/>
        <v>3</v>
      </c>
      <c r="B17" s="7" t="s">
        <v>185</v>
      </c>
      <c r="C17" s="4">
        <f>SUM(M17:O17)</f>
        <v>11571209.75</v>
      </c>
      <c r="D17" s="4">
        <f>SUM(Q17:S17)</f>
        <v>14317780.75</v>
      </c>
      <c r="E17" s="4"/>
      <c r="F17" s="4"/>
      <c r="G17" s="4">
        <f>ROUND(SUM(C17:F17)/2,0)</f>
        <v>12944495</v>
      </c>
      <c r="H17" s="4"/>
      <c r="I17" s="4">
        <f aca="true" t="shared" si="1" ref="I17:K32">(M17+Q17)/2</f>
        <v>11723291.5</v>
      </c>
      <c r="J17" s="4">
        <f t="shared" si="1"/>
        <v>10974</v>
      </c>
      <c r="K17" s="4">
        <f t="shared" si="1"/>
        <v>1210229.75</v>
      </c>
      <c r="L17" s="4"/>
      <c r="M17" s="14">
        <v>10543865</v>
      </c>
      <c r="N17" s="14">
        <v>21948</v>
      </c>
      <c r="O17" s="14">
        <v>1005396.75</v>
      </c>
      <c r="P17" s="4"/>
      <c r="Q17" s="39">
        <v>12902718</v>
      </c>
      <c r="R17" s="14">
        <v>0</v>
      </c>
      <c r="S17" s="14">
        <f>1405303+9759.75</f>
        <v>1415062.75</v>
      </c>
      <c r="T17" s="4"/>
      <c r="U17" s="4"/>
      <c r="V17" s="4"/>
      <c r="W17" s="4"/>
      <c r="X17" s="4"/>
      <c r="Y17" s="4"/>
      <c r="Z17" s="1"/>
      <c r="AA17" s="1"/>
    </row>
    <row r="18" spans="1:27" ht="12.75">
      <c r="A18" s="38">
        <f t="shared" si="0"/>
        <v>4</v>
      </c>
      <c r="B18" s="7" t="s">
        <v>140</v>
      </c>
      <c r="C18" s="4">
        <f>SUM(M18:O18)</f>
        <v>0</v>
      </c>
      <c r="D18" s="4">
        <f>SUM(Q18:S18)</f>
        <v>0</v>
      </c>
      <c r="E18" s="4"/>
      <c r="F18" s="4"/>
      <c r="G18" s="4">
        <f>ROUND(SUM(C18:F18)/2,0)</f>
        <v>0</v>
      </c>
      <c r="H18" s="4"/>
      <c r="I18" s="4">
        <f t="shared" si="1"/>
        <v>0</v>
      </c>
      <c r="J18" s="4">
        <f t="shared" si="1"/>
        <v>0</v>
      </c>
      <c r="K18" s="4">
        <f t="shared" si="1"/>
        <v>0</v>
      </c>
      <c r="L18" s="4"/>
      <c r="M18" s="14">
        <v>0</v>
      </c>
      <c r="N18" s="14">
        <v>0</v>
      </c>
      <c r="O18" s="14">
        <v>0</v>
      </c>
      <c r="P18" s="4"/>
      <c r="Q18" s="14">
        <v>0</v>
      </c>
      <c r="R18" s="14">
        <v>0</v>
      </c>
      <c r="S18" s="14">
        <v>0</v>
      </c>
      <c r="T18" s="4"/>
      <c r="U18" s="4"/>
      <c r="V18" s="4"/>
      <c r="W18" s="4"/>
      <c r="X18" s="4"/>
      <c r="Y18" s="4"/>
      <c r="Z18" s="1"/>
      <c r="AA18" s="1"/>
    </row>
    <row r="19" spans="1:27" ht="12.75">
      <c r="A19" s="38">
        <f t="shared" si="0"/>
        <v>5</v>
      </c>
      <c r="B19" s="4" t="s">
        <v>186</v>
      </c>
      <c r="C19" s="4">
        <f aca="true" t="shared" si="2" ref="C19:C65">SUM(M19:O19)</f>
        <v>75480807.85000001</v>
      </c>
      <c r="D19" s="4">
        <f aca="true" t="shared" si="3" ref="D19:D82">SUM(Q19:S19)</f>
        <v>72823655.56</v>
      </c>
      <c r="E19" s="4"/>
      <c r="F19" s="4"/>
      <c r="G19" s="4">
        <f aca="true" t="shared" si="4" ref="G19:G82">ROUND(SUM(C19:F19)/2,0)</f>
        <v>74152232</v>
      </c>
      <c r="H19" s="4"/>
      <c r="I19" s="4">
        <f t="shared" si="1"/>
        <v>53746632.165</v>
      </c>
      <c r="J19" s="4">
        <f t="shared" si="1"/>
        <v>15531469.245000001</v>
      </c>
      <c r="K19" s="4">
        <f t="shared" si="1"/>
        <v>4874130.295</v>
      </c>
      <c r="L19" s="4"/>
      <c r="M19" s="14">
        <v>53273771.11</v>
      </c>
      <c r="N19" s="14">
        <v>17336520.6</v>
      </c>
      <c r="O19" s="14">
        <v>4870516.140000001</v>
      </c>
      <c r="P19" s="4"/>
      <c r="Q19" s="14">
        <f>69210904.22-14991411</f>
        <v>54219493.22</v>
      </c>
      <c r="R19" s="14">
        <f>19892397.89-6165980</f>
        <v>13726417.89</v>
      </c>
      <c r="S19" s="14">
        <f>9732656.45-4854912</f>
        <v>4877744.449999999</v>
      </c>
      <c r="T19" s="4"/>
      <c r="U19" s="4"/>
      <c r="V19" s="4"/>
      <c r="W19" s="4"/>
      <c r="X19" s="4"/>
      <c r="Y19" s="4"/>
      <c r="Z19" s="1"/>
      <c r="AA19" s="1"/>
    </row>
    <row r="20" spans="1:27" ht="12.75">
      <c r="A20" s="38">
        <f t="shared" si="0"/>
        <v>6</v>
      </c>
      <c r="B20" s="11" t="s">
        <v>187</v>
      </c>
      <c r="C20" s="4">
        <f>SUM(M20:O20)</f>
        <v>0</v>
      </c>
      <c r="D20" s="4">
        <f>SUM(Q20:S20)</f>
        <v>0</v>
      </c>
      <c r="E20" s="4"/>
      <c r="F20" s="4"/>
      <c r="G20" s="4">
        <f>ROUND(SUM(C20:F20)/2,0)</f>
        <v>0</v>
      </c>
      <c r="H20" s="4"/>
      <c r="I20" s="4">
        <f t="shared" si="1"/>
        <v>0</v>
      </c>
      <c r="J20" s="4">
        <f t="shared" si="1"/>
        <v>0</v>
      </c>
      <c r="K20" s="4">
        <f t="shared" si="1"/>
        <v>0</v>
      </c>
      <c r="L20" s="4"/>
      <c r="M20" s="14">
        <v>0</v>
      </c>
      <c r="N20" s="14">
        <v>0</v>
      </c>
      <c r="O20" s="14">
        <v>0</v>
      </c>
      <c r="P20" s="4"/>
      <c r="Q20" s="14">
        <v>0</v>
      </c>
      <c r="R20" s="14">
        <v>0</v>
      </c>
      <c r="S20" s="14">
        <v>0</v>
      </c>
      <c r="T20" s="4"/>
      <c r="U20" s="4"/>
      <c r="V20" s="4"/>
      <c r="W20" s="4"/>
      <c r="X20" s="4"/>
      <c r="Y20" s="4"/>
      <c r="Z20" s="1"/>
      <c r="AA20" s="1"/>
    </row>
    <row r="21" spans="1:27" ht="12.75">
      <c r="A21" s="38">
        <f t="shared" si="0"/>
        <v>7</v>
      </c>
      <c r="B21" s="11" t="s">
        <v>188</v>
      </c>
      <c r="C21" s="4">
        <f t="shared" si="2"/>
        <v>5713795.5</v>
      </c>
      <c r="D21" s="4">
        <f t="shared" si="3"/>
        <v>6136761.050000001</v>
      </c>
      <c r="E21" s="4"/>
      <c r="F21" s="4"/>
      <c r="G21" s="4">
        <f t="shared" si="4"/>
        <v>5925278</v>
      </c>
      <c r="H21" s="4"/>
      <c r="I21" s="4">
        <f t="shared" si="1"/>
        <v>0</v>
      </c>
      <c r="J21" s="4">
        <f t="shared" si="1"/>
        <v>216611.47499999998</v>
      </c>
      <c r="K21" s="4">
        <f t="shared" si="1"/>
        <v>5708666.800000001</v>
      </c>
      <c r="L21" s="4"/>
      <c r="M21" s="14">
        <v>0</v>
      </c>
      <c r="N21" s="14">
        <v>199643.3</v>
      </c>
      <c r="O21" s="14">
        <v>5514152.2</v>
      </c>
      <c r="P21" s="4"/>
      <c r="Q21" s="14">
        <v>0</v>
      </c>
      <c r="R21" s="14">
        <v>233579.65</v>
      </c>
      <c r="S21" s="14">
        <v>5903181.4</v>
      </c>
      <c r="T21" s="4"/>
      <c r="U21" s="4"/>
      <c r="V21" s="4"/>
      <c r="W21" s="4"/>
      <c r="X21" s="4"/>
      <c r="Y21" s="4"/>
      <c r="Z21" s="1"/>
      <c r="AA21" s="1"/>
    </row>
    <row r="22" spans="1:27" ht="12.75">
      <c r="A22" s="38">
        <f t="shared" si="0"/>
        <v>8</v>
      </c>
      <c r="B22" s="11" t="s">
        <v>189</v>
      </c>
      <c r="C22" s="4">
        <f t="shared" si="2"/>
        <v>484357.47</v>
      </c>
      <c r="D22" s="4">
        <f t="shared" si="3"/>
        <v>559341.12</v>
      </c>
      <c r="E22" s="4"/>
      <c r="F22" s="4"/>
      <c r="G22" s="4">
        <f t="shared" si="4"/>
        <v>521849</v>
      </c>
      <c r="H22" s="4"/>
      <c r="I22" s="4">
        <f t="shared" si="1"/>
        <v>0</v>
      </c>
      <c r="J22" s="4">
        <f t="shared" si="1"/>
        <v>521849.295</v>
      </c>
      <c r="K22" s="4">
        <f t="shared" si="1"/>
        <v>0</v>
      </c>
      <c r="L22" s="4"/>
      <c r="M22" s="14">
        <v>0</v>
      </c>
      <c r="N22" s="14">
        <v>484357.47</v>
      </c>
      <c r="O22" s="14">
        <v>0</v>
      </c>
      <c r="P22" s="4"/>
      <c r="Q22" s="14">
        <v>0</v>
      </c>
      <c r="R22" s="14">
        <v>559341.12</v>
      </c>
      <c r="S22" s="14">
        <v>0</v>
      </c>
      <c r="T22" s="4"/>
      <c r="U22" s="4"/>
      <c r="V22" s="4"/>
      <c r="W22" s="4"/>
      <c r="X22" s="4"/>
      <c r="Y22" s="4"/>
      <c r="Z22" s="1"/>
      <c r="AA22" s="1"/>
    </row>
    <row r="23" spans="1:27" ht="12.75">
      <c r="A23" s="38">
        <f t="shared" si="0"/>
        <v>9</v>
      </c>
      <c r="B23" s="11" t="s">
        <v>190</v>
      </c>
      <c r="C23" s="4">
        <f t="shared" si="2"/>
        <v>2742902.63</v>
      </c>
      <c r="D23" s="4">
        <f t="shared" si="3"/>
        <v>2786795.43</v>
      </c>
      <c r="E23" s="4"/>
      <c r="F23" s="4"/>
      <c r="G23" s="4">
        <f t="shared" si="4"/>
        <v>2764849</v>
      </c>
      <c r="H23" s="4"/>
      <c r="I23" s="4">
        <f t="shared" si="1"/>
        <v>0</v>
      </c>
      <c r="J23" s="4">
        <f t="shared" si="1"/>
        <v>115317.15</v>
      </c>
      <c r="K23" s="4">
        <f t="shared" si="1"/>
        <v>2649531.88</v>
      </c>
      <c r="L23" s="4"/>
      <c r="M23" s="14">
        <v>0</v>
      </c>
      <c r="N23" s="14">
        <v>112988.6</v>
      </c>
      <c r="O23" s="14">
        <v>2629914.03</v>
      </c>
      <c r="P23" s="4"/>
      <c r="Q23" s="14">
        <v>0</v>
      </c>
      <c r="R23" s="14">
        <v>117645.7</v>
      </c>
      <c r="S23" s="14">
        <v>2669149.73</v>
      </c>
      <c r="T23" s="4"/>
      <c r="U23" s="4"/>
      <c r="V23" s="4"/>
      <c r="W23" s="4"/>
      <c r="X23" s="4"/>
      <c r="Y23" s="4"/>
      <c r="Z23" s="1"/>
      <c r="AA23" s="1"/>
    </row>
    <row r="24" spans="1:27" ht="12.75">
      <c r="A24" s="38">
        <f t="shared" si="0"/>
        <v>10</v>
      </c>
      <c r="B24" s="11" t="s">
        <v>191</v>
      </c>
      <c r="C24" s="4">
        <f>SUM(M24:O24)</f>
        <v>0</v>
      </c>
      <c r="D24" s="4">
        <f>SUM(Q24:S24)</f>
        <v>0</v>
      </c>
      <c r="E24" s="4"/>
      <c r="F24" s="4"/>
      <c r="G24" s="4">
        <f>ROUND(SUM(C24:F24)/2,0)</f>
        <v>0</v>
      </c>
      <c r="H24" s="4"/>
      <c r="I24" s="4">
        <f t="shared" si="1"/>
        <v>0</v>
      </c>
      <c r="J24" s="4">
        <f t="shared" si="1"/>
        <v>0</v>
      </c>
      <c r="K24" s="4">
        <f t="shared" si="1"/>
        <v>0</v>
      </c>
      <c r="L24" s="4"/>
      <c r="M24" s="14">
        <v>0</v>
      </c>
      <c r="N24" s="14">
        <v>0</v>
      </c>
      <c r="O24" s="14">
        <v>0</v>
      </c>
      <c r="P24" s="4"/>
      <c r="Q24" s="14">
        <v>0</v>
      </c>
      <c r="R24" s="14">
        <v>0</v>
      </c>
      <c r="S24" s="14">
        <v>0</v>
      </c>
      <c r="T24" s="4"/>
      <c r="U24" s="4"/>
      <c r="V24" s="4"/>
      <c r="W24" s="4"/>
      <c r="X24" s="4"/>
      <c r="Y24" s="4"/>
      <c r="Z24" s="1"/>
      <c r="AA24" s="1"/>
    </row>
    <row r="25" spans="1:27" ht="12.75">
      <c r="A25" s="38">
        <f t="shared" si="0"/>
        <v>11</v>
      </c>
      <c r="B25" s="11" t="s">
        <v>192</v>
      </c>
      <c r="C25" s="4">
        <f t="shared" si="2"/>
        <v>0</v>
      </c>
      <c r="D25" s="4">
        <f t="shared" si="3"/>
        <v>0.1</v>
      </c>
      <c r="E25" s="4"/>
      <c r="F25" s="4"/>
      <c r="G25" s="4">
        <f t="shared" si="4"/>
        <v>0</v>
      </c>
      <c r="H25" s="4"/>
      <c r="I25" s="4">
        <f t="shared" si="1"/>
        <v>0.05</v>
      </c>
      <c r="J25" s="4">
        <f t="shared" si="1"/>
        <v>0</v>
      </c>
      <c r="K25" s="4">
        <f t="shared" si="1"/>
        <v>0</v>
      </c>
      <c r="L25" s="4"/>
      <c r="M25" s="14">
        <v>0</v>
      </c>
      <c r="N25" s="14">
        <v>0</v>
      </c>
      <c r="O25" s="14">
        <v>0</v>
      </c>
      <c r="P25" s="4"/>
      <c r="Q25" s="14">
        <v>0.1</v>
      </c>
      <c r="R25" s="14">
        <v>0</v>
      </c>
      <c r="S25" s="14">
        <v>0</v>
      </c>
      <c r="T25" s="4"/>
      <c r="U25" s="4"/>
      <c r="V25" s="4"/>
      <c r="W25" s="4"/>
      <c r="X25" s="4"/>
      <c r="Y25" s="4"/>
      <c r="Z25" s="1"/>
      <c r="AA25" s="1"/>
    </row>
    <row r="26" spans="1:27" ht="12.75">
      <c r="A26" s="38">
        <f t="shared" si="0"/>
        <v>12</v>
      </c>
      <c r="B26" s="11" t="s">
        <v>193</v>
      </c>
      <c r="C26" s="4">
        <f t="shared" si="2"/>
        <v>0</v>
      </c>
      <c r="D26" s="4">
        <f t="shared" si="3"/>
        <v>0</v>
      </c>
      <c r="E26" s="4"/>
      <c r="F26" s="4"/>
      <c r="G26" s="4">
        <f t="shared" si="4"/>
        <v>0</v>
      </c>
      <c r="H26" s="4"/>
      <c r="I26" s="4">
        <f t="shared" si="1"/>
        <v>0</v>
      </c>
      <c r="J26" s="4">
        <f t="shared" si="1"/>
        <v>0</v>
      </c>
      <c r="K26" s="4">
        <f t="shared" si="1"/>
        <v>0</v>
      </c>
      <c r="L26" s="4"/>
      <c r="M26" s="14">
        <v>0</v>
      </c>
      <c r="N26" s="14">
        <v>0</v>
      </c>
      <c r="O26" s="14">
        <v>0</v>
      </c>
      <c r="P26" s="4"/>
      <c r="Q26" s="14">
        <v>0</v>
      </c>
      <c r="R26" s="14">
        <v>0</v>
      </c>
      <c r="S26" s="14">
        <v>0</v>
      </c>
      <c r="T26" s="4"/>
      <c r="U26" s="4"/>
      <c r="V26" s="4"/>
      <c r="W26" s="4"/>
      <c r="X26" s="4"/>
      <c r="Y26" s="4"/>
      <c r="Z26" s="1"/>
      <c r="AA26" s="1"/>
    </row>
    <row r="27" spans="1:27" ht="12.75">
      <c r="A27" s="38">
        <f t="shared" si="0"/>
        <v>13</v>
      </c>
      <c r="B27" s="11" t="s">
        <v>194</v>
      </c>
      <c r="C27" s="4">
        <f t="shared" si="2"/>
        <v>2099433.09</v>
      </c>
      <c r="D27" s="4">
        <f t="shared" si="3"/>
        <v>12224577.17</v>
      </c>
      <c r="E27" s="4"/>
      <c r="F27" s="4"/>
      <c r="G27" s="4">
        <f t="shared" si="4"/>
        <v>7162005</v>
      </c>
      <c r="H27" s="4"/>
      <c r="I27" s="4">
        <f t="shared" si="1"/>
        <v>231150.75</v>
      </c>
      <c r="J27" s="4">
        <f t="shared" si="1"/>
        <v>1800402.025</v>
      </c>
      <c r="K27" s="4">
        <f t="shared" si="1"/>
        <v>5130452.355</v>
      </c>
      <c r="L27" s="4"/>
      <c r="M27" s="14">
        <v>370376.47</v>
      </c>
      <c r="N27" s="14">
        <v>1648034.91</v>
      </c>
      <c r="O27" s="14">
        <v>81021.71</v>
      </c>
      <c r="P27" s="4"/>
      <c r="Q27" s="14">
        <v>91925.03</v>
      </c>
      <c r="R27" s="14">
        <v>1952769.14</v>
      </c>
      <c r="S27" s="14">
        <v>10179883</v>
      </c>
      <c r="T27" s="4"/>
      <c r="U27" s="4"/>
      <c r="V27" s="4"/>
      <c r="W27" s="4"/>
      <c r="X27" s="4"/>
      <c r="Y27" s="4"/>
      <c r="Z27" s="1"/>
      <c r="AA27" s="1"/>
    </row>
    <row r="28" spans="1:27" ht="12.75">
      <c r="A28" s="38">
        <f t="shared" si="0"/>
        <v>14</v>
      </c>
      <c r="B28" s="11" t="s">
        <v>195</v>
      </c>
      <c r="C28" s="4">
        <f t="shared" si="2"/>
        <v>640.6</v>
      </c>
      <c r="D28" s="4">
        <f t="shared" si="3"/>
        <v>640.6</v>
      </c>
      <c r="E28" s="4"/>
      <c r="F28" s="4"/>
      <c r="G28" s="4">
        <f t="shared" si="4"/>
        <v>641</v>
      </c>
      <c r="H28" s="4"/>
      <c r="I28" s="4">
        <f t="shared" si="1"/>
        <v>0</v>
      </c>
      <c r="J28" s="4">
        <f t="shared" si="1"/>
        <v>0</v>
      </c>
      <c r="K28" s="4">
        <f t="shared" si="1"/>
        <v>640.6</v>
      </c>
      <c r="L28" s="4"/>
      <c r="M28" s="14">
        <v>0</v>
      </c>
      <c r="N28" s="14">
        <v>0</v>
      </c>
      <c r="O28" s="14">
        <v>640.6</v>
      </c>
      <c r="P28" s="4"/>
      <c r="Q28" s="14">
        <v>0</v>
      </c>
      <c r="R28" s="14">
        <v>0</v>
      </c>
      <c r="S28" s="14">
        <v>640.6</v>
      </c>
      <c r="T28" s="4"/>
      <c r="U28" s="4"/>
      <c r="V28" s="4"/>
      <c r="W28" s="4"/>
      <c r="X28" s="4"/>
      <c r="Y28" s="4"/>
      <c r="Z28" s="1"/>
      <c r="AA28" s="1"/>
    </row>
    <row r="29" spans="1:27" ht="12.75">
      <c r="A29" s="38">
        <f t="shared" si="0"/>
        <v>15</v>
      </c>
      <c r="B29" s="11" t="s">
        <v>196</v>
      </c>
      <c r="C29" s="4">
        <f t="shared" si="2"/>
        <v>0</v>
      </c>
      <c r="D29" s="4">
        <f t="shared" si="3"/>
        <v>0</v>
      </c>
      <c r="E29" s="4"/>
      <c r="F29" s="4"/>
      <c r="G29" s="4">
        <f t="shared" si="4"/>
        <v>0</v>
      </c>
      <c r="H29" s="4"/>
      <c r="I29" s="4">
        <f t="shared" si="1"/>
        <v>0</v>
      </c>
      <c r="J29" s="4">
        <f t="shared" si="1"/>
        <v>0</v>
      </c>
      <c r="K29" s="4">
        <f t="shared" si="1"/>
        <v>0</v>
      </c>
      <c r="L29" s="4"/>
      <c r="M29" s="14">
        <v>0</v>
      </c>
      <c r="N29" s="14">
        <v>0</v>
      </c>
      <c r="O29" s="14">
        <v>0</v>
      </c>
      <c r="P29" s="4"/>
      <c r="Q29" s="14">
        <v>0</v>
      </c>
      <c r="R29" s="14">
        <v>0</v>
      </c>
      <c r="S29" s="14">
        <v>0</v>
      </c>
      <c r="T29" s="4"/>
      <c r="U29" s="4"/>
      <c r="V29" s="4"/>
      <c r="W29" s="4"/>
      <c r="X29" s="4"/>
      <c r="Y29" s="4"/>
      <c r="Z29" s="1"/>
      <c r="AA29" s="1"/>
    </row>
    <row r="30" spans="1:27" ht="12.75">
      <c r="A30" s="38">
        <f t="shared" si="0"/>
        <v>16</v>
      </c>
      <c r="B30" s="11" t="s">
        <v>197</v>
      </c>
      <c r="C30" s="4">
        <f>SUM(M30:O30)</f>
        <v>-1257397.75</v>
      </c>
      <c r="D30" s="4">
        <f>SUM(Q30:S30)</f>
        <v>4850928.6</v>
      </c>
      <c r="E30" s="4"/>
      <c r="F30" s="4"/>
      <c r="G30" s="4">
        <f>ROUND(SUM(C30:F30)/2,0)</f>
        <v>1796765</v>
      </c>
      <c r="H30" s="4"/>
      <c r="I30" s="4">
        <f t="shared" si="1"/>
        <v>1796765.4249999998</v>
      </c>
      <c r="J30" s="4">
        <f t="shared" si="1"/>
        <v>0</v>
      </c>
      <c r="K30" s="4">
        <f t="shared" si="1"/>
        <v>0</v>
      </c>
      <c r="L30" s="4"/>
      <c r="M30" s="14">
        <v>-1257397.75</v>
      </c>
      <c r="N30" s="14">
        <v>0</v>
      </c>
      <c r="O30" s="14">
        <v>0</v>
      </c>
      <c r="P30" s="4"/>
      <c r="Q30" s="14">
        <v>4850928.6</v>
      </c>
      <c r="R30" s="14">
        <v>0</v>
      </c>
      <c r="S30" s="14">
        <v>0</v>
      </c>
      <c r="T30" s="4"/>
      <c r="U30" s="4"/>
      <c r="V30" s="4"/>
      <c r="W30" s="4"/>
      <c r="X30" s="4"/>
      <c r="Y30" s="4"/>
      <c r="Z30" s="1"/>
      <c r="AA30" s="1"/>
    </row>
    <row r="31" spans="1:27" ht="12.75">
      <c r="A31" s="38">
        <f t="shared" si="0"/>
        <v>17</v>
      </c>
      <c r="B31" s="11" t="s">
        <v>198</v>
      </c>
      <c r="C31" s="4">
        <f t="shared" si="2"/>
        <v>123685.69</v>
      </c>
      <c r="D31" s="4">
        <f t="shared" si="3"/>
        <v>126202.76000000001</v>
      </c>
      <c r="E31" s="4"/>
      <c r="F31" s="4"/>
      <c r="G31" s="4">
        <f t="shared" si="4"/>
        <v>124944</v>
      </c>
      <c r="H31" s="4"/>
      <c r="I31" s="4">
        <f t="shared" si="1"/>
        <v>85738.31</v>
      </c>
      <c r="J31" s="4">
        <f t="shared" si="1"/>
        <v>6942.345</v>
      </c>
      <c r="K31" s="4">
        <f t="shared" si="1"/>
        <v>32263.57</v>
      </c>
      <c r="L31" s="4"/>
      <c r="M31" s="14">
        <v>86213.8</v>
      </c>
      <c r="N31" s="14">
        <v>9083.54</v>
      </c>
      <c r="O31" s="14">
        <v>28388.35</v>
      </c>
      <c r="P31" s="4"/>
      <c r="Q31" s="14">
        <v>85262.82</v>
      </c>
      <c r="R31" s="14">
        <v>4801.15</v>
      </c>
      <c r="S31" s="14">
        <v>36138.79</v>
      </c>
      <c r="T31" s="4"/>
      <c r="U31" s="4"/>
      <c r="V31" s="4"/>
      <c r="W31" s="4"/>
      <c r="X31" s="4"/>
      <c r="Y31" s="4"/>
      <c r="Z31" s="1"/>
      <c r="AA31" s="1"/>
    </row>
    <row r="32" spans="1:27" ht="12.75">
      <c r="A32" s="38">
        <f t="shared" si="0"/>
        <v>18</v>
      </c>
      <c r="B32" s="11" t="s">
        <v>199</v>
      </c>
      <c r="C32" s="4">
        <f t="shared" si="2"/>
        <v>-88786.91</v>
      </c>
      <c r="D32" s="4">
        <f t="shared" si="3"/>
        <v>-101597.13</v>
      </c>
      <c r="E32" s="4"/>
      <c r="F32" s="4"/>
      <c r="G32" s="4">
        <f t="shared" si="4"/>
        <v>-95192</v>
      </c>
      <c r="H32" s="4"/>
      <c r="I32" s="4">
        <f t="shared" si="1"/>
        <v>214.255</v>
      </c>
      <c r="J32" s="4">
        <f t="shared" si="1"/>
        <v>0</v>
      </c>
      <c r="K32" s="4">
        <f t="shared" si="1"/>
        <v>-95406.275</v>
      </c>
      <c r="L32" s="4"/>
      <c r="M32" s="14">
        <v>237</v>
      </c>
      <c r="N32" s="14">
        <v>0</v>
      </c>
      <c r="O32" s="14">
        <v>-89023.91</v>
      </c>
      <c r="P32" s="4"/>
      <c r="Q32" s="14">
        <v>191.51</v>
      </c>
      <c r="R32" s="14">
        <v>0</v>
      </c>
      <c r="S32" s="14">
        <v>-101788.64</v>
      </c>
      <c r="T32" s="4"/>
      <c r="U32" s="4"/>
      <c r="V32" s="4"/>
      <c r="W32" s="4"/>
      <c r="X32" s="4"/>
      <c r="Y32" s="4"/>
      <c r="Z32" s="1"/>
      <c r="AA32" s="1"/>
    </row>
    <row r="33" spans="1:27" ht="12.75">
      <c r="A33" s="38">
        <f t="shared" si="0"/>
        <v>19</v>
      </c>
      <c r="B33" s="11" t="s">
        <v>200</v>
      </c>
      <c r="C33" s="4">
        <f>SUM(M33:O33)</f>
        <v>219608.19999999998</v>
      </c>
      <c r="D33" s="4">
        <f>SUM(Q33:S33)</f>
        <v>194948.25</v>
      </c>
      <c r="E33" s="4"/>
      <c r="F33" s="4"/>
      <c r="G33" s="4">
        <f>ROUND(SUM(C33:F33)/2,0)</f>
        <v>207278</v>
      </c>
      <c r="H33" s="4"/>
      <c r="I33" s="4">
        <f aca="true" t="shared" si="5" ref="I33:K95">(M33+Q33)/2</f>
        <v>-112.35</v>
      </c>
      <c r="J33" s="4">
        <f t="shared" si="5"/>
        <v>0</v>
      </c>
      <c r="K33" s="4">
        <f t="shared" si="5"/>
        <v>207390.575</v>
      </c>
      <c r="L33" s="4"/>
      <c r="M33" s="14">
        <v>-68.95</v>
      </c>
      <c r="N33" s="14">
        <v>0</v>
      </c>
      <c r="O33" s="14">
        <v>219677.15</v>
      </c>
      <c r="P33" s="4"/>
      <c r="Q33" s="14">
        <v>-155.75</v>
      </c>
      <c r="R33" s="14">
        <v>0</v>
      </c>
      <c r="S33" s="14">
        <v>195104</v>
      </c>
      <c r="T33" s="4"/>
      <c r="U33" s="4"/>
      <c r="V33" s="4"/>
      <c r="W33" s="4"/>
      <c r="X33" s="4"/>
      <c r="Y33" s="4"/>
      <c r="Z33" s="1"/>
      <c r="AA33" s="1"/>
    </row>
    <row r="34" spans="1:27" ht="12.75">
      <c r="A34" s="38">
        <f t="shared" si="0"/>
        <v>20</v>
      </c>
      <c r="B34" s="11" t="s">
        <v>201</v>
      </c>
      <c r="C34" s="4">
        <f>SUM(M34:O34)</f>
        <v>202147.89</v>
      </c>
      <c r="D34" s="4">
        <f>SUM(Q34:S34)</f>
        <v>198807.4</v>
      </c>
      <c r="E34" s="4"/>
      <c r="F34" s="4"/>
      <c r="G34" s="4">
        <f>ROUND(SUM(C34:F34)/2,0)</f>
        <v>200478</v>
      </c>
      <c r="H34" s="4"/>
      <c r="I34" s="4">
        <f t="shared" si="5"/>
        <v>71476.25</v>
      </c>
      <c r="J34" s="4">
        <f t="shared" si="5"/>
        <v>0</v>
      </c>
      <c r="K34" s="4">
        <f t="shared" si="5"/>
        <v>129001.39499999999</v>
      </c>
      <c r="L34" s="4"/>
      <c r="M34" s="14">
        <v>59972.05</v>
      </c>
      <c r="N34" s="14">
        <v>0</v>
      </c>
      <c r="O34" s="14">
        <v>142175.84</v>
      </c>
      <c r="P34" s="4"/>
      <c r="Q34" s="14">
        <v>82980.45</v>
      </c>
      <c r="R34" s="14">
        <v>0</v>
      </c>
      <c r="S34" s="14">
        <v>115826.95</v>
      </c>
      <c r="T34" s="4"/>
      <c r="U34" s="4"/>
      <c r="V34" s="4"/>
      <c r="W34" s="4"/>
      <c r="X34" s="4"/>
      <c r="Y34" s="4"/>
      <c r="Z34" s="1"/>
      <c r="AA34" s="1"/>
    </row>
    <row r="35" spans="1:27" ht="12.75">
      <c r="A35" s="38">
        <f t="shared" si="0"/>
        <v>21</v>
      </c>
      <c r="B35" s="11" t="s">
        <v>202</v>
      </c>
      <c r="C35" s="4">
        <f>SUM(M35:O35)</f>
        <v>0</v>
      </c>
      <c r="D35" s="4">
        <f>SUM(Q35:S35)</f>
        <v>-0.02</v>
      </c>
      <c r="E35" s="4"/>
      <c r="F35" s="4"/>
      <c r="G35" s="4">
        <f>ROUND(SUM(C35:F35)/2,0)</f>
        <v>0</v>
      </c>
      <c r="H35" s="4"/>
      <c r="I35" s="4">
        <f t="shared" si="5"/>
        <v>0</v>
      </c>
      <c r="J35" s="4">
        <f t="shared" si="5"/>
        <v>0</v>
      </c>
      <c r="K35" s="4">
        <f t="shared" si="5"/>
        <v>-0.01</v>
      </c>
      <c r="L35" s="4"/>
      <c r="M35" s="14">
        <v>0</v>
      </c>
      <c r="N35" s="14">
        <v>0</v>
      </c>
      <c r="O35" s="14">
        <v>0</v>
      </c>
      <c r="P35" s="4"/>
      <c r="Q35" s="14">
        <v>0</v>
      </c>
      <c r="R35" s="14">
        <v>0</v>
      </c>
      <c r="S35" s="14">
        <v>-0.02</v>
      </c>
      <c r="T35" s="4"/>
      <c r="U35" s="4"/>
      <c r="V35" s="4"/>
      <c r="W35" s="4"/>
      <c r="X35" s="4"/>
      <c r="Y35" s="4"/>
      <c r="Z35" s="1"/>
      <c r="AA35" s="1"/>
    </row>
    <row r="36" spans="1:27" ht="12.75">
      <c r="A36" s="38">
        <f t="shared" si="0"/>
        <v>22</v>
      </c>
      <c r="B36" s="11" t="s">
        <v>203</v>
      </c>
      <c r="C36" s="4">
        <f>SUM(M36:O36)</f>
        <v>2051495.13</v>
      </c>
      <c r="D36" s="4">
        <f>SUM(Q36:S36)</f>
        <v>1923700.9200000002</v>
      </c>
      <c r="E36" s="4"/>
      <c r="F36" s="4"/>
      <c r="G36" s="4">
        <f>ROUND(SUM(C36:F36)/2,0)</f>
        <v>1987598</v>
      </c>
      <c r="H36" s="4"/>
      <c r="I36" s="4">
        <f t="shared" si="5"/>
        <v>96914.525</v>
      </c>
      <c r="J36" s="4">
        <f t="shared" si="5"/>
        <v>0</v>
      </c>
      <c r="K36" s="4">
        <f t="shared" si="5"/>
        <v>1890683.5</v>
      </c>
      <c r="L36" s="4"/>
      <c r="M36" s="14">
        <v>100699.21</v>
      </c>
      <c r="N36" s="14">
        <v>0</v>
      </c>
      <c r="O36" s="14">
        <v>1950795.92</v>
      </c>
      <c r="P36" s="4"/>
      <c r="Q36" s="14">
        <v>93129.84</v>
      </c>
      <c r="R36" s="14">
        <v>0</v>
      </c>
      <c r="S36" s="14">
        <v>1830571.08</v>
      </c>
      <c r="T36" s="4"/>
      <c r="U36" s="4"/>
      <c r="V36" s="4"/>
      <c r="W36" s="4"/>
      <c r="X36" s="4"/>
      <c r="Y36" s="4"/>
      <c r="Z36" s="1"/>
      <c r="AA36" s="1"/>
    </row>
    <row r="37" spans="1:27" ht="12.75">
      <c r="A37" s="38">
        <f t="shared" si="0"/>
        <v>23</v>
      </c>
      <c r="B37" s="11" t="s">
        <v>204</v>
      </c>
      <c r="C37" s="4">
        <f t="shared" si="2"/>
        <v>1140808.17</v>
      </c>
      <c r="D37" s="4">
        <f t="shared" si="3"/>
        <v>484792.19000000006</v>
      </c>
      <c r="E37" s="4"/>
      <c r="F37" s="4"/>
      <c r="G37" s="4">
        <f t="shared" si="4"/>
        <v>812800</v>
      </c>
      <c r="H37" s="4"/>
      <c r="I37" s="4">
        <f t="shared" si="5"/>
        <v>-342671.35</v>
      </c>
      <c r="J37" s="4">
        <f t="shared" si="5"/>
        <v>776.99</v>
      </c>
      <c r="K37" s="4">
        <f t="shared" si="5"/>
        <v>1154694.54</v>
      </c>
      <c r="L37" s="4"/>
      <c r="M37" s="14">
        <v>-342671.35</v>
      </c>
      <c r="N37" s="14">
        <v>776.99</v>
      </c>
      <c r="O37" s="14">
        <v>1482702.53</v>
      </c>
      <c r="P37" s="4"/>
      <c r="Q37" s="14">
        <v>-342671.35</v>
      </c>
      <c r="R37" s="14">
        <v>776.99</v>
      </c>
      <c r="S37" s="14">
        <v>826686.55</v>
      </c>
      <c r="T37" s="4"/>
      <c r="U37" s="4"/>
      <c r="V37" s="4"/>
      <c r="W37" s="4"/>
      <c r="X37" s="4"/>
      <c r="Y37" s="4"/>
      <c r="Z37" s="1"/>
      <c r="AA37" s="1"/>
    </row>
    <row r="38" spans="1:27" ht="12.75">
      <c r="A38" s="38">
        <f t="shared" si="0"/>
        <v>24</v>
      </c>
      <c r="B38" s="11" t="s">
        <v>205</v>
      </c>
      <c r="C38" s="4">
        <f t="shared" si="2"/>
        <v>24916.85</v>
      </c>
      <c r="D38" s="4">
        <f t="shared" si="3"/>
        <v>40535.6</v>
      </c>
      <c r="E38" s="4"/>
      <c r="F38" s="4"/>
      <c r="G38" s="4">
        <f t="shared" si="4"/>
        <v>32726</v>
      </c>
      <c r="H38" s="4"/>
      <c r="I38" s="4">
        <f t="shared" si="5"/>
        <v>32726.225</v>
      </c>
      <c r="J38" s="4">
        <f t="shared" si="5"/>
        <v>0</v>
      </c>
      <c r="K38" s="4">
        <f t="shared" si="5"/>
        <v>0</v>
      </c>
      <c r="L38" s="4"/>
      <c r="M38" s="14">
        <v>24916.85</v>
      </c>
      <c r="N38" s="14">
        <v>0</v>
      </c>
      <c r="O38" s="14">
        <v>0</v>
      </c>
      <c r="P38" s="4"/>
      <c r="Q38" s="14">
        <v>40535.6</v>
      </c>
      <c r="R38" s="14">
        <v>0</v>
      </c>
      <c r="S38" s="14">
        <v>0</v>
      </c>
      <c r="T38" s="4"/>
      <c r="U38" s="4"/>
      <c r="V38" s="4"/>
      <c r="W38" s="4"/>
      <c r="X38" s="4"/>
      <c r="Y38" s="4"/>
      <c r="Z38" s="1"/>
      <c r="AA38" s="1"/>
    </row>
    <row r="39" spans="1:27" ht="12.75">
      <c r="A39" s="38">
        <f t="shared" si="0"/>
        <v>25</v>
      </c>
      <c r="B39" s="11" t="s">
        <v>206</v>
      </c>
      <c r="C39" s="4">
        <f>SUM(M39:O39)</f>
        <v>-2114.35</v>
      </c>
      <c r="D39" s="4">
        <f>SUM(Q39:S39)</f>
        <v>-6869.8</v>
      </c>
      <c r="E39" s="4"/>
      <c r="F39" s="4"/>
      <c r="G39" s="4">
        <f>ROUND(SUM(C39:F39)/2,0)</f>
        <v>-4492</v>
      </c>
      <c r="H39" s="4"/>
      <c r="I39" s="4">
        <f t="shared" si="5"/>
        <v>-4492.075</v>
      </c>
      <c r="J39" s="4">
        <f t="shared" si="5"/>
        <v>0</v>
      </c>
      <c r="K39" s="4">
        <f t="shared" si="5"/>
        <v>0</v>
      </c>
      <c r="L39" s="4"/>
      <c r="M39" s="14">
        <v>-2114.35</v>
      </c>
      <c r="N39" s="14">
        <v>0</v>
      </c>
      <c r="O39" s="14">
        <v>0</v>
      </c>
      <c r="P39" s="4"/>
      <c r="Q39" s="14">
        <v>-6869.8</v>
      </c>
      <c r="R39" s="14">
        <v>0</v>
      </c>
      <c r="S39" s="14">
        <v>0</v>
      </c>
      <c r="T39" s="4"/>
      <c r="U39" s="4"/>
      <c r="V39" s="4"/>
      <c r="W39" s="4"/>
      <c r="X39" s="4"/>
      <c r="Y39" s="4"/>
      <c r="Z39" s="1"/>
      <c r="AA39" s="1"/>
    </row>
    <row r="40" spans="1:27" ht="12.75">
      <c r="A40" s="38">
        <f t="shared" si="0"/>
        <v>26</v>
      </c>
      <c r="B40" s="13" t="s">
        <v>207</v>
      </c>
      <c r="C40" s="4">
        <f>SUM(M40:O40)</f>
        <v>0</v>
      </c>
      <c r="D40" s="4">
        <f>SUM(Q40:S40)</f>
        <v>0</v>
      </c>
      <c r="E40" s="4"/>
      <c r="F40" s="4"/>
      <c r="G40" s="4">
        <f>ROUND(SUM(C40:F40)/2,0)</f>
        <v>0</v>
      </c>
      <c r="H40" s="4"/>
      <c r="I40" s="4">
        <f t="shared" si="5"/>
        <v>0</v>
      </c>
      <c r="J40" s="4">
        <f t="shared" si="5"/>
        <v>0</v>
      </c>
      <c r="K40" s="4">
        <f t="shared" si="5"/>
        <v>0</v>
      </c>
      <c r="L40" s="4"/>
      <c r="M40" s="14">
        <v>0</v>
      </c>
      <c r="N40" s="14">
        <v>0</v>
      </c>
      <c r="O40" s="14">
        <v>0</v>
      </c>
      <c r="P40" s="4"/>
      <c r="Q40" s="14">
        <v>0</v>
      </c>
      <c r="R40" s="14">
        <v>0</v>
      </c>
      <c r="S40" s="14">
        <v>0</v>
      </c>
      <c r="T40" s="4"/>
      <c r="U40" s="4"/>
      <c r="V40" s="4"/>
      <c r="W40" s="4"/>
      <c r="X40" s="4"/>
      <c r="Y40" s="4"/>
      <c r="Z40" s="1"/>
      <c r="AA40" s="1"/>
    </row>
    <row r="41" spans="1:27" ht="12.75">
      <c r="A41" s="38">
        <f t="shared" si="0"/>
        <v>27</v>
      </c>
      <c r="B41" s="11" t="s">
        <v>208</v>
      </c>
      <c r="C41" s="4">
        <f t="shared" si="2"/>
        <v>6185789.91</v>
      </c>
      <c r="D41" s="4">
        <f t="shared" si="3"/>
        <v>5383806.61</v>
      </c>
      <c r="E41" s="4"/>
      <c r="F41" s="4"/>
      <c r="G41" s="4">
        <f t="shared" si="4"/>
        <v>5784798</v>
      </c>
      <c r="H41" s="4"/>
      <c r="I41" s="4">
        <f t="shared" si="5"/>
        <v>2564631.08</v>
      </c>
      <c r="J41" s="4">
        <f t="shared" si="5"/>
        <v>-95928.315</v>
      </c>
      <c r="K41" s="4">
        <f t="shared" si="5"/>
        <v>3316095.495</v>
      </c>
      <c r="L41" s="4"/>
      <c r="M41" s="14">
        <v>2451200.27</v>
      </c>
      <c r="N41" s="14">
        <v>-177048.37</v>
      </c>
      <c r="O41" s="14">
        <v>3911638.01</v>
      </c>
      <c r="P41" s="4"/>
      <c r="Q41" s="14">
        <v>2678061.89</v>
      </c>
      <c r="R41" s="14">
        <v>-14808.26</v>
      </c>
      <c r="S41" s="14">
        <v>2720552.98</v>
      </c>
      <c r="T41" s="4"/>
      <c r="U41" s="4"/>
      <c r="V41" s="4"/>
      <c r="W41" s="4"/>
      <c r="X41" s="4"/>
      <c r="Y41" s="4"/>
      <c r="Z41" s="1"/>
      <c r="AA41" s="1"/>
    </row>
    <row r="42" spans="1:27" ht="12.75">
      <c r="A42" s="38">
        <f t="shared" si="0"/>
        <v>28</v>
      </c>
      <c r="B42" s="11" t="s">
        <v>209</v>
      </c>
      <c r="C42" s="4">
        <f t="shared" si="2"/>
        <v>4200</v>
      </c>
      <c r="D42" s="4">
        <f t="shared" si="3"/>
        <v>4200</v>
      </c>
      <c r="E42" s="4"/>
      <c r="F42" s="4"/>
      <c r="G42" s="4">
        <f t="shared" si="4"/>
        <v>4200</v>
      </c>
      <c r="H42" s="4"/>
      <c r="I42" s="4">
        <f t="shared" si="5"/>
        <v>0</v>
      </c>
      <c r="J42" s="4">
        <f t="shared" si="5"/>
        <v>0</v>
      </c>
      <c r="K42" s="4">
        <f t="shared" si="5"/>
        <v>4200</v>
      </c>
      <c r="L42" s="4"/>
      <c r="M42" s="14">
        <v>0</v>
      </c>
      <c r="N42" s="14">
        <v>0</v>
      </c>
      <c r="O42" s="14">
        <v>4200</v>
      </c>
      <c r="P42" s="4"/>
      <c r="Q42" s="14">
        <v>0</v>
      </c>
      <c r="R42" s="14">
        <v>0</v>
      </c>
      <c r="S42" s="14">
        <v>4200</v>
      </c>
      <c r="T42" s="4"/>
      <c r="U42" s="4"/>
      <c r="V42" s="4"/>
      <c r="W42" s="4"/>
      <c r="X42" s="4"/>
      <c r="Y42" s="4"/>
      <c r="Z42" s="1"/>
      <c r="AA42" s="1"/>
    </row>
    <row r="43" spans="1:27" ht="12.75">
      <c r="A43" s="38">
        <f t="shared" si="0"/>
        <v>29</v>
      </c>
      <c r="B43" s="11" t="s">
        <v>210</v>
      </c>
      <c r="C43" s="4">
        <f>SUM(M43:O43)</f>
        <v>2899862.82</v>
      </c>
      <c r="D43" s="4">
        <f>SUM(Q43:S43)</f>
        <v>3096185.8899999997</v>
      </c>
      <c r="E43" s="4"/>
      <c r="F43" s="4"/>
      <c r="G43" s="4">
        <f>ROUND(SUM(C43:F43)/2,0)</f>
        <v>2998024</v>
      </c>
      <c r="H43" s="4"/>
      <c r="I43" s="4">
        <f t="shared" si="5"/>
        <v>1222134.515</v>
      </c>
      <c r="J43" s="4">
        <f t="shared" si="5"/>
        <v>-92909.965</v>
      </c>
      <c r="K43" s="4">
        <f t="shared" si="5"/>
        <v>1868799.805</v>
      </c>
      <c r="L43" s="4"/>
      <c r="M43" s="14">
        <v>1121790.4</v>
      </c>
      <c r="N43" s="14">
        <v>-159743.99</v>
      </c>
      <c r="O43" s="14">
        <v>1937816.41</v>
      </c>
      <c r="P43" s="4"/>
      <c r="Q43" s="14">
        <v>1322478.63</v>
      </c>
      <c r="R43" s="14">
        <v>-26075.94</v>
      </c>
      <c r="S43" s="14">
        <v>1799783.2</v>
      </c>
      <c r="T43" s="4"/>
      <c r="U43" s="4"/>
      <c r="V43" s="4"/>
      <c r="W43" s="4"/>
      <c r="X43" s="4"/>
      <c r="Y43" s="4"/>
      <c r="Z43" s="1"/>
      <c r="AA43" s="1"/>
    </row>
    <row r="44" spans="1:27" ht="12.75">
      <c r="A44" s="38">
        <f t="shared" si="0"/>
        <v>30</v>
      </c>
      <c r="B44" s="11" t="s">
        <v>211</v>
      </c>
      <c r="C44" s="4">
        <f t="shared" si="2"/>
        <v>440150.25999999995</v>
      </c>
      <c r="D44" s="4">
        <f t="shared" si="3"/>
        <v>428159.13</v>
      </c>
      <c r="E44" s="4"/>
      <c r="F44" s="4"/>
      <c r="G44" s="4">
        <f t="shared" si="4"/>
        <v>434155</v>
      </c>
      <c r="H44" s="4"/>
      <c r="I44" s="4">
        <f t="shared" si="5"/>
        <v>13847.279999999999</v>
      </c>
      <c r="J44" s="4">
        <f t="shared" si="5"/>
        <v>0</v>
      </c>
      <c r="K44" s="4">
        <f t="shared" si="5"/>
        <v>420307.415</v>
      </c>
      <c r="L44" s="4"/>
      <c r="M44" s="14">
        <v>13792.72</v>
      </c>
      <c r="N44" s="14">
        <v>0</v>
      </c>
      <c r="O44" s="14">
        <v>426357.54</v>
      </c>
      <c r="P44" s="4"/>
      <c r="Q44" s="14">
        <v>13901.84</v>
      </c>
      <c r="R44" s="14">
        <v>0</v>
      </c>
      <c r="S44" s="14">
        <v>414257.29</v>
      </c>
      <c r="T44" s="4"/>
      <c r="U44" s="4"/>
      <c r="V44" s="4"/>
      <c r="W44" s="4"/>
      <c r="X44" s="4"/>
      <c r="Y44" s="4"/>
      <c r="Z44" s="1"/>
      <c r="AA44" s="1"/>
    </row>
    <row r="45" spans="1:27" ht="12.75">
      <c r="A45" s="38">
        <f t="shared" si="0"/>
        <v>31</v>
      </c>
      <c r="B45" s="11" t="s">
        <v>212</v>
      </c>
      <c r="C45" s="4">
        <f t="shared" si="2"/>
        <v>1094235.14</v>
      </c>
      <c r="D45" s="4">
        <f t="shared" si="3"/>
        <v>3256418.57</v>
      </c>
      <c r="E45" s="4"/>
      <c r="F45" s="4"/>
      <c r="G45" s="4">
        <f t="shared" si="4"/>
        <v>2175327</v>
      </c>
      <c r="H45" s="4"/>
      <c r="I45" s="4">
        <f t="shared" si="5"/>
        <v>2175326.855</v>
      </c>
      <c r="J45" s="4">
        <f t="shared" si="5"/>
        <v>0</v>
      </c>
      <c r="K45" s="4">
        <f t="shared" si="5"/>
        <v>0</v>
      </c>
      <c r="L45" s="4"/>
      <c r="M45" s="14">
        <v>1094235.14</v>
      </c>
      <c r="N45" s="14">
        <v>0</v>
      </c>
      <c r="O45" s="14">
        <v>0</v>
      </c>
      <c r="P45" s="4"/>
      <c r="Q45" s="14">
        <v>3256418.57</v>
      </c>
      <c r="R45" s="14">
        <v>0</v>
      </c>
      <c r="S45" s="14">
        <v>0</v>
      </c>
      <c r="T45" s="4"/>
      <c r="U45" s="4"/>
      <c r="V45" s="4"/>
      <c r="W45" s="4"/>
      <c r="X45" s="4"/>
      <c r="Y45" s="4"/>
      <c r="Z45" s="1"/>
      <c r="AA45" s="1"/>
    </row>
    <row r="46" spans="1:27" ht="12.75">
      <c r="A46" s="38">
        <f t="shared" si="0"/>
        <v>32</v>
      </c>
      <c r="B46" s="11" t="s">
        <v>213</v>
      </c>
      <c r="C46" s="4">
        <f t="shared" si="2"/>
        <v>0</v>
      </c>
      <c r="D46" s="4">
        <f t="shared" si="3"/>
        <v>-0.5999999999992724</v>
      </c>
      <c r="E46" s="4"/>
      <c r="F46" s="4"/>
      <c r="G46" s="4">
        <f t="shared" si="4"/>
        <v>0</v>
      </c>
      <c r="H46" s="4"/>
      <c r="I46" s="4">
        <f t="shared" si="5"/>
        <v>-0.15</v>
      </c>
      <c r="J46" s="4">
        <f t="shared" si="5"/>
        <v>-0.024999999999636202</v>
      </c>
      <c r="K46" s="4">
        <f t="shared" si="5"/>
        <v>-0.125</v>
      </c>
      <c r="L46" s="4"/>
      <c r="M46" s="14">
        <v>0</v>
      </c>
      <c r="N46" s="14">
        <v>0</v>
      </c>
      <c r="O46" s="14">
        <v>0</v>
      </c>
      <c r="P46" s="4"/>
      <c r="Q46" s="14">
        <v>-0.3</v>
      </c>
      <c r="R46" s="14">
        <f>-12552.05+12552</f>
        <v>-0.049999999999272404</v>
      </c>
      <c r="S46" s="14">
        <f>-18828.25+18828</f>
        <v>-0.25</v>
      </c>
      <c r="T46" s="4"/>
      <c r="U46" s="4"/>
      <c r="V46" s="4"/>
      <c r="W46" s="4"/>
      <c r="X46" s="4"/>
      <c r="Y46" s="4"/>
      <c r="Z46" s="1"/>
      <c r="AA46" s="1"/>
    </row>
    <row r="47" spans="1:27" ht="12.75">
      <c r="A47" s="38">
        <f t="shared" si="0"/>
        <v>33</v>
      </c>
      <c r="B47" s="11" t="s">
        <v>214</v>
      </c>
      <c r="C47" s="4">
        <f>SUM(M47:O47)</f>
        <v>-606976.75</v>
      </c>
      <c r="D47" s="4">
        <f>SUM(Q47:S47)</f>
        <v>-606976.75</v>
      </c>
      <c r="E47" s="4"/>
      <c r="F47" s="4"/>
      <c r="G47" s="4">
        <f>ROUND(SUM(C47:F47)/2,0)</f>
        <v>-606977</v>
      </c>
      <c r="H47" s="4"/>
      <c r="I47" s="4">
        <f t="shared" si="5"/>
        <v>-609265.6</v>
      </c>
      <c r="J47" s="4">
        <f t="shared" si="5"/>
        <v>1563.75</v>
      </c>
      <c r="K47" s="4">
        <f t="shared" si="5"/>
        <v>725.1000000000058</v>
      </c>
      <c r="L47" s="4"/>
      <c r="M47" s="14">
        <v>-609265.6</v>
      </c>
      <c r="N47" s="14">
        <v>1563.75</v>
      </c>
      <c r="O47" s="14">
        <v>725.1000000000058</v>
      </c>
      <c r="P47" s="4"/>
      <c r="Q47" s="14">
        <f>-1025218.6+415953</f>
        <v>-609265.6</v>
      </c>
      <c r="R47" s="14">
        <f>-164806.25+166370</f>
        <v>1563.75</v>
      </c>
      <c r="S47" s="14">
        <f>-252956.9+253682</f>
        <v>725.1000000000058</v>
      </c>
      <c r="T47" s="4"/>
      <c r="U47" s="4"/>
      <c r="V47" s="4"/>
      <c r="W47" s="4"/>
      <c r="X47" s="4"/>
      <c r="Y47" s="4"/>
      <c r="Z47" s="1"/>
      <c r="AA47" s="1"/>
    </row>
    <row r="48" spans="1:27" ht="12.75">
      <c r="A48" s="38">
        <f t="shared" si="0"/>
        <v>34</v>
      </c>
      <c r="B48" s="11" t="s">
        <v>215</v>
      </c>
      <c r="C48" s="4">
        <f>SUM(M48:O48)</f>
        <v>0</v>
      </c>
      <c r="D48" s="4">
        <f>SUM(Q48:S48)</f>
        <v>-0.5</v>
      </c>
      <c r="E48" s="4"/>
      <c r="F48" s="4"/>
      <c r="G48" s="4">
        <f>ROUND(SUM(C48:F48)/2,0)</f>
        <v>0</v>
      </c>
      <c r="H48" s="4"/>
      <c r="I48" s="4">
        <f t="shared" si="5"/>
        <v>0.125</v>
      </c>
      <c r="J48" s="4">
        <f t="shared" si="5"/>
        <v>-0.25</v>
      </c>
      <c r="K48" s="4">
        <f t="shared" si="5"/>
        <v>-0.125</v>
      </c>
      <c r="L48" s="4"/>
      <c r="M48" s="14">
        <v>0</v>
      </c>
      <c r="N48" s="14">
        <v>0</v>
      </c>
      <c r="O48" s="14">
        <v>0</v>
      </c>
      <c r="P48" s="4"/>
      <c r="Q48" s="14">
        <f>-591928.75+591929</f>
        <v>0.25</v>
      </c>
      <c r="R48" s="14">
        <f>-236771.5+236771</f>
        <v>-0.5</v>
      </c>
      <c r="S48" s="14">
        <f>-355157.25+355157</f>
        <v>-0.25</v>
      </c>
      <c r="T48" s="4"/>
      <c r="U48" s="4"/>
      <c r="V48" s="4"/>
      <c r="W48" s="4"/>
      <c r="X48" s="4"/>
      <c r="Y48" s="4"/>
      <c r="Z48" s="1"/>
      <c r="AA48" s="1"/>
    </row>
    <row r="49" spans="1:27" ht="12.75">
      <c r="A49" s="38">
        <f t="shared" si="0"/>
        <v>35</v>
      </c>
      <c r="B49" s="11" t="s">
        <v>216</v>
      </c>
      <c r="C49" s="4">
        <f t="shared" si="2"/>
        <v>49457.09999999998</v>
      </c>
      <c r="D49" s="4">
        <f t="shared" si="3"/>
        <v>49457.09999999998</v>
      </c>
      <c r="E49" s="4"/>
      <c r="F49" s="4"/>
      <c r="G49" s="4">
        <f t="shared" si="4"/>
        <v>49457</v>
      </c>
      <c r="H49" s="4"/>
      <c r="I49" s="4">
        <f t="shared" si="5"/>
        <v>0</v>
      </c>
      <c r="J49" s="4">
        <f t="shared" si="5"/>
        <v>-240348.5</v>
      </c>
      <c r="K49" s="4">
        <f t="shared" si="5"/>
        <v>289805.6</v>
      </c>
      <c r="L49" s="4"/>
      <c r="M49" s="14">
        <v>0</v>
      </c>
      <c r="N49" s="14">
        <v>-240348.5</v>
      </c>
      <c r="O49" s="14">
        <v>289805.6</v>
      </c>
      <c r="P49" s="4"/>
      <c r="Q49" s="14">
        <v>0</v>
      </c>
      <c r="R49" s="14">
        <v>-240348.5</v>
      </c>
      <c r="S49" s="14">
        <v>289805.6</v>
      </c>
      <c r="T49" s="4"/>
      <c r="U49" s="4"/>
      <c r="V49" s="4"/>
      <c r="W49" s="4"/>
      <c r="X49" s="4"/>
      <c r="Y49" s="4"/>
      <c r="Z49" s="1"/>
      <c r="AA49" s="1"/>
    </row>
    <row r="50" spans="1:27" ht="12.75">
      <c r="A50" s="38">
        <f t="shared" si="0"/>
        <v>36</v>
      </c>
      <c r="B50" s="11" t="s">
        <v>217</v>
      </c>
      <c r="C50" s="4">
        <f t="shared" si="2"/>
        <v>-177579.36</v>
      </c>
      <c r="D50" s="4">
        <f t="shared" si="3"/>
        <v>-177579.36</v>
      </c>
      <c r="E50" s="4"/>
      <c r="F50" s="4"/>
      <c r="G50" s="4">
        <f t="shared" si="4"/>
        <v>-177579</v>
      </c>
      <c r="H50" s="4"/>
      <c r="I50" s="4">
        <f t="shared" si="5"/>
        <v>-177579.36</v>
      </c>
      <c r="J50" s="4">
        <f t="shared" si="5"/>
        <v>0</v>
      </c>
      <c r="K50" s="4">
        <f t="shared" si="5"/>
        <v>0</v>
      </c>
      <c r="L50" s="4"/>
      <c r="M50" s="14">
        <v>-177579.36</v>
      </c>
      <c r="N50" s="14">
        <v>0</v>
      </c>
      <c r="O50" s="14">
        <v>0</v>
      </c>
      <c r="P50" s="4"/>
      <c r="Q50" s="14">
        <v>-177579.36</v>
      </c>
      <c r="R50" s="14">
        <v>0</v>
      </c>
      <c r="S50" s="14">
        <v>0</v>
      </c>
      <c r="T50" s="4"/>
      <c r="U50" s="4"/>
      <c r="V50" s="4"/>
      <c r="W50" s="4"/>
      <c r="X50" s="4"/>
      <c r="Y50" s="4"/>
      <c r="Z50" s="1"/>
      <c r="AA50" s="1"/>
    </row>
    <row r="51" spans="1:27" ht="12.75">
      <c r="A51" s="38">
        <f t="shared" si="0"/>
        <v>37</v>
      </c>
      <c r="B51" s="11" t="s">
        <v>218</v>
      </c>
      <c r="C51" s="4">
        <f t="shared" si="2"/>
        <v>0</v>
      </c>
      <c r="D51" s="4">
        <f t="shared" si="3"/>
        <v>-0.01</v>
      </c>
      <c r="E51" s="4"/>
      <c r="F51" s="4"/>
      <c r="G51" s="4">
        <f t="shared" si="4"/>
        <v>0</v>
      </c>
      <c r="H51" s="4"/>
      <c r="I51" s="4">
        <f t="shared" si="5"/>
        <v>-0.005</v>
      </c>
      <c r="J51" s="4">
        <f t="shared" si="5"/>
        <v>0</v>
      </c>
      <c r="K51" s="4">
        <f t="shared" si="5"/>
        <v>0</v>
      </c>
      <c r="L51" s="4"/>
      <c r="M51" s="14">
        <v>0</v>
      </c>
      <c r="N51" s="14">
        <v>0</v>
      </c>
      <c r="O51" s="14">
        <v>0</v>
      </c>
      <c r="P51" s="4"/>
      <c r="Q51" s="14">
        <v>-0.01</v>
      </c>
      <c r="R51" s="14">
        <v>0</v>
      </c>
      <c r="S51" s="14">
        <v>0</v>
      </c>
      <c r="T51" s="4"/>
      <c r="U51" s="4"/>
      <c r="V51" s="4"/>
      <c r="W51" s="4"/>
      <c r="X51" s="4"/>
      <c r="Y51" s="4"/>
      <c r="Z51" s="1"/>
      <c r="AA51" s="1"/>
    </row>
    <row r="52" spans="1:27" ht="12.75">
      <c r="A52" s="38">
        <f t="shared" si="0"/>
        <v>38</v>
      </c>
      <c r="B52" s="13" t="s">
        <v>219</v>
      </c>
      <c r="C52" s="4">
        <f t="shared" si="2"/>
        <v>182467</v>
      </c>
      <c r="D52" s="4">
        <f t="shared" si="3"/>
        <v>182467</v>
      </c>
      <c r="E52" s="4"/>
      <c r="F52" s="4"/>
      <c r="G52" s="4">
        <f t="shared" si="4"/>
        <v>182467</v>
      </c>
      <c r="H52" s="4"/>
      <c r="I52" s="4">
        <f t="shared" si="5"/>
        <v>182467</v>
      </c>
      <c r="J52" s="4">
        <f t="shared" si="5"/>
        <v>0</v>
      </c>
      <c r="K52" s="4">
        <f t="shared" si="5"/>
        <v>0</v>
      </c>
      <c r="L52" s="4"/>
      <c r="M52" s="14">
        <v>182467</v>
      </c>
      <c r="N52" s="14">
        <v>0</v>
      </c>
      <c r="O52" s="14">
        <v>0</v>
      </c>
      <c r="P52" s="4"/>
      <c r="Q52" s="14">
        <v>182467</v>
      </c>
      <c r="R52" s="14">
        <v>0</v>
      </c>
      <c r="S52" s="14">
        <v>0</v>
      </c>
      <c r="T52" s="4"/>
      <c r="U52" s="4"/>
      <c r="V52" s="4"/>
      <c r="W52" s="4"/>
      <c r="X52" s="4"/>
      <c r="Y52" s="4"/>
      <c r="Z52" s="1"/>
      <c r="AA52" s="1"/>
    </row>
    <row r="53" spans="1:27" ht="12.75">
      <c r="A53" s="38">
        <f t="shared" si="0"/>
        <v>39</v>
      </c>
      <c r="B53" s="11" t="s">
        <v>220</v>
      </c>
      <c r="C53" s="4">
        <f aca="true" t="shared" si="6" ref="C53:C58">SUM(M53:O53)</f>
        <v>0</v>
      </c>
      <c r="D53" s="4">
        <f t="shared" si="3"/>
        <v>0</v>
      </c>
      <c r="E53" s="4"/>
      <c r="F53" s="4"/>
      <c r="G53" s="4">
        <f t="shared" si="4"/>
        <v>0</v>
      </c>
      <c r="H53" s="4"/>
      <c r="I53" s="4">
        <f t="shared" si="5"/>
        <v>0</v>
      </c>
      <c r="J53" s="4">
        <f t="shared" si="5"/>
        <v>0</v>
      </c>
      <c r="K53" s="4">
        <f t="shared" si="5"/>
        <v>0</v>
      </c>
      <c r="L53" s="4"/>
      <c r="M53" s="14">
        <v>0</v>
      </c>
      <c r="N53" s="14">
        <v>0</v>
      </c>
      <c r="O53" s="14">
        <v>0</v>
      </c>
      <c r="P53" s="4"/>
      <c r="Q53" s="14">
        <v>0</v>
      </c>
      <c r="R53" s="14">
        <v>0</v>
      </c>
      <c r="S53" s="14">
        <v>0</v>
      </c>
      <c r="T53" s="4"/>
      <c r="U53" s="4"/>
      <c r="V53" s="4"/>
      <c r="W53" s="4"/>
      <c r="X53" s="4"/>
      <c r="Y53" s="4"/>
      <c r="Z53" s="1"/>
      <c r="AA53" s="1"/>
    </row>
    <row r="54" spans="1:27" ht="12.75">
      <c r="A54" s="38">
        <f t="shared" si="0"/>
        <v>40</v>
      </c>
      <c r="B54" s="11" t="s">
        <v>221</v>
      </c>
      <c r="C54" s="4">
        <f t="shared" si="6"/>
        <v>2141898.06</v>
      </c>
      <c r="D54" s="4">
        <f t="shared" si="3"/>
        <v>2141898.06</v>
      </c>
      <c r="E54" s="4"/>
      <c r="F54" s="4"/>
      <c r="G54" s="4">
        <f t="shared" si="4"/>
        <v>2141898</v>
      </c>
      <c r="H54" s="4"/>
      <c r="I54" s="4">
        <f t="shared" si="5"/>
        <v>2141898.06</v>
      </c>
      <c r="J54" s="4">
        <f t="shared" si="5"/>
        <v>0</v>
      </c>
      <c r="K54" s="4">
        <f t="shared" si="5"/>
        <v>0</v>
      </c>
      <c r="L54" s="4"/>
      <c r="M54" s="14">
        <v>2141898.06</v>
      </c>
      <c r="N54" s="14">
        <v>0</v>
      </c>
      <c r="O54" s="14">
        <v>0</v>
      </c>
      <c r="P54" s="4"/>
      <c r="Q54" s="14">
        <v>2141898.06</v>
      </c>
      <c r="R54" s="14">
        <v>0</v>
      </c>
      <c r="S54" s="14">
        <v>0</v>
      </c>
      <c r="T54" s="4"/>
      <c r="U54" s="4"/>
      <c r="V54" s="4"/>
      <c r="W54" s="4"/>
      <c r="X54" s="4"/>
      <c r="Y54" s="4"/>
      <c r="Z54" s="1"/>
      <c r="AA54" s="1"/>
    </row>
    <row r="55" spans="1:27" ht="12.75">
      <c r="A55" s="38">
        <f t="shared" si="0"/>
        <v>41</v>
      </c>
      <c r="B55" s="11" t="s">
        <v>222</v>
      </c>
      <c r="C55" s="4">
        <f t="shared" si="6"/>
        <v>-0.19</v>
      </c>
      <c r="D55" s="4">
        <f t="shared" si="3"/>
        <v>212410.81</v>
      </c>
      <c r="E55" s="4"/>
      <c r="F55" s="4"/>
      <c r="G55" s="4">
        <f t="shared" si="4"/>
        <v>106205</v>
      </c>
      <c r="H55" s="4"/>
      <c r="I55" s="4">
        <f t="shared" si="5"/>
        <v>106205.31</v>
      </c>
      <c r="J55" s="4">
        <f t="shared" si="5"/>
        <v>0</v>
      </c>
      <c r="K55" s="4">
        <f t="shared" si="5"/>
        <v>0</v>
      </c>
      <c r="L55" s="4"/>
      <c r="M55" s="14">
        <v>-0.19</v>
      </c>
      <c r="N55" s="14">
        <v>0</v>
      </c>
      <c r="O55" s="14">
        <v>0</v>
      </c>
      <c r="P55" s="4"/>
      <c r="Q55" s="14">
        <v>212410.81</v>
      </c>
      <c r="R55" s="14">
        <v>0</v>
      </c>
      <c r="S55" s="14">
        <v>0</v>
      </c>
      <c r="T55" s="4"/>
      <c r="U55" s="4"/>
      <c r="V55" s="4"/>
      <c r="W55" s="4"/>
      <c r="X55" s="4"/>
      <c r="Y55" s="4"/>
      <c r="Z55" s="1"/>
      <c r="AA55" s="1"/>
    </row>
    <row r="56" spans="1:27" ht="12.75">
      <c r="A56" s="38">
        <f t="shared" si="0"/>
        <v>42</v>
      </c>
      <c r="B56" s="11" t="s">
        <v>223</v>
      </c>
      <c r="C56" s="4">
        <f t="shared" si="6"/>
        <v>0</v>
      </c>
      <c r="D56" s="4">
        <f t="shared" si="3"/>
        <v>0</v>
      </c>
      <c r="E56" s="4"/>
      <c r="F56" s="4"/>
      <c r="G56" s="4">
        <f t="shared" si="4"/>
        <v>0</v>
      </c>
      <c r="H56" s="4"/>
      <c r="I56" s="4">
        <f t="shared" si="5"/>
        <v>0</v>
      </c>
      <c r="J56" s="4">
        <f t="shared" si="5"/>
        <v>0</v>
      </c>
      <c r="K56" s="4">
        <f t="shared" si="5"/>
        <v>0</v>
      </c>
      <c r="L56" s="4"/>
      <c r="M56" s="14">
        <v>0</v>
      </c>
      <c r="N56" s="14">
        <v>0</v>
      </c>
      <c r="O56" s="14">
        <v>0</v>
      </c>
      <c r="P56" s="4"/>
      <c r="Q56" s="14">
        <v>0</v>
      </c>
      <c r="R56" s="14">
        <v>0</v>
      </c>
      <c r="S56" s="14">
        <v>0</v>
      </c>
      <c r="T56" s="4"/>
      <c r="U56" s="4"/>
      <c r="V56" s="4"/>
      <c r="W56" s="4"/>
      <c r="X56" s="4"/>
      <c r="Y56" s="4"/>
      <c r="Z56" s="1"/>
      <c r="AA56" s="1"/>
    </row>
    <row r="57" spans="1:27" ht="12.75">
      <c r="A57" s="38">
        <f t="shared" si="0"/>
        <v>43</v>
      </c>
      <c r="B57" s="11" t="s">
        <v>224</v>
      </c>
      <c r="C57" s="4">
        <f t="shared" si="6"/>
        <v>0</v>
      </c>
      <c r="D57" s="4">
        <f t="shared" si="3"/>
        <v>0</v>
      </c>
      <c r="E57" s="4"/>
      <c r="F57" s="4"/>
      <c r="G57" s="4">
        <f t="shared" si="4"/>
        <v>0</v>
      </c>
      <c r="H57" s="4"/>
      <c r="I57" s="4">
        <f t="shared" si="5"/>
        <v>0</v>
      </c>
      <c r="J57" s="4">
        <f t="shared" si="5"/>
        <v>0</v>
      </c>
      <c r="K57" s="4">
        <f t="shared" si="5"/>
        <v>0</v>
      </c>
      <c r="L57" s="4"/>
      <c r="M57" s="14">
        <v>0</v>
      </c>
      <c r="N57" s="14">
        <v>0</v>
      </c>
      <c r="O57" s="14">
        <v>0</v>
      </c>
      <c r="P57" s="4"/>
      <c r="Q57" s="14">
        <v>0</v>
      </c>
      <c r="R57" s="14">
        <v>0</v>
      </c>
      <c r="S57" s="14">
        <v>0</v>
      </c>
      <c r="T57" s="4"/>
      <c r="U57" s="4"/>
      <c r="V57" s="4"/>
      <c r="W57" s="4"/>
      <c r="X57" s="4"/>
      <c r="Y57" s="4"/>
      <c r="Z57" s="1"/>
      <c r="AA57" s="1"/>
    </row>
    <row r="58" spans="1:27" ht="12.75">
      <c r="A58" s="38">
        <f t="shared" si="0"/>
        <v>44</v>
      </c>
      <c r="B58" s="11" t="s">
        <v>225</v>
      </c>
      <c r="C58" s="4">
        <f t="shared" si="6"/>
        <v>371202.52</v>
      </c>
      <c r="D58" s="4">
        <f t="shared" si="3"/>
        <v>432015.54</v>
      </c>
      <c r="E58" s="4"/>
      <c r="F58" s="4"/>
      <c r="G58" s="4">
        <f t="shared" si="4"/>
        <v>401609</v>
      </c>
      <c r="H58" s="4"/>
      <c r="I58" s="4">
        <f t="shared" si="5"/>
        <v>0</v>
      </c>
      <c r="J58" s="4">
        <f t="shared" si="5"/>
        <v>401609.03</v>
      </c>
      <c r="K58" s="4">
        <f t="shared" si="5"/>
        <v>0</v>
      </c>
      <c r="L58" s="4"/>
      <c r="M58" s="14">
        <v>0</v>
      </c>
      <c r="N58" s="14">
        <v>371202.52</v>
      </c>
      <c r="O58" s="14">
        <v>0</v>
      </c>
      <c r="P58" s="4"/>
      <c r="Q58" s="14">
        <v>0</v>
      </c>
      <c r="R58" s="14">
        <v>432015.54</v>
      </c>
      <c r="S58" s="14">
        <v>0</v>
      </c>
      <c r="T58" s="4"/>
      <c r="U58" s="4"/>
      <c r="V58" s="4"/>
      <c r="W58" s="4"/>
      <c r="X58" s="4"/>
      <c r="Y58" s="4"/>
      <c r="Z58" s="1"/>
      <c r="AA58" s="1"/>
    </row>
    <row r="59" spans="1:27" ht="12.75">
      <c r="A59" s="38">
        <f t="shared" si="0"/>
        <v>45</v>
      </c>
      <c r="B59" s="11" t="s">
        <v>226</v>
      </c>
      <c r="C59" s="4">
        <f t="shared" si="2"/>
        <v>0</v>
      </c>
      <c r="D59" s="4">
        <f t="shared" si="3"/>
        <v>0</v>
      </c>
      <c r="E59" s="4"/>
      <c r="F59" s="4"/>
      <c r="G59" s="4">
        <f t="shared" si="4"/>
        <v>0</v>
      </c>
      <c r="H59" s="4"/>
      <c r="I59" s="4">
        <f t="shared" si="5"/>
        <v>0</v>
      </c>
      <c r="J59" s="4">
        <f t="shared" si="5"/>
        <v>0</v>
      </c>
      <c r="K59" s="4">
        <f t="shared" si="5"/>
        <v>0</v>
      </c>
      <c r="L59" s="4"/>
      <c r="M59" s="14">
        <v>0</v>
      </c>
      <c r="N59" s="14">
        <v>0</v>
      </c>
      <c r="O59" s="14">
        <v>0</v>
      </c>
      <c r="P59" s="4"/>
      <c r="Q59" s="14">
        <v>0</v>
      </c>
      <c r="R59" s="14">
        <v>0</v>
      </c>
      <c r="S59" s="14">
        <v>0</v>
      </c>
      <c r="T59" s="4"/>
      <c r="U59" s="4"/>
      <c r="V59" s="4"/>
      <c r="W59" s="4"/>
      <c r="X59" s="4"/>
      <c r="Y59" s="4"/>
      <c r="Z59" s="1"/>
      <c r="AA59" s="1"/>
    </row>
    <row r="60" spans="1:27" ht="12.75">
      <c r="A60" s="38">
        <f t="shared" si="0"/>
        <v>46</v>
      </c>
      <c r="B60" s="11" t="s">
        <v>227</v>
      </c>
      <c r="C60" s="4">
        <f t="shared" si="2"/>
        <v>13422</v>
      </c>
      <c r="D60" s="4">
        <f t="shared" si="3"/>
        <v>13422</v>
      </c>
      <c r="E60" s="4"/>
      <c r="F60" s="4"/>
      <c r="G60" s="4">
        <f t="shared" si="4"/>
        <v>13422</v>
      </c>
      <c r="H60" s="4"/>
      <c r="I60" s="4">
        <f t="shared" si="5"/>
        <v>13422</v>
      </c>
      <c r="J60" s="4">
        <f t="shared" si="5"/>
        <v>0</v>
      </c>
      <c r="K60" s="4">
        <f t="shared" si="5"/>
        <v>0</v>
      </c>
      <c r="L60" s="4"/>
      <c r="M60" s="14">
        <v>13422</v>
      </c>
      <c r="N60" s="14">
        <v>0</v>
      </c>
      <c r="O60" s="14">
        <v>0</v>
      </c>
      <c r="P60" s="4"/>
      <c r="Q60" s="14">
        <v>13422</v>
      </c>
      <c r="R60" s="14">
        <v>0</v>
      </c>
      <c r="S60" s="14">
        <v>0</v>
      </c>
      <c r="T60" s="4"/>
      <c r="U60" s="4"/>
      <c r="V60" s="4"/>
      <c r="W60" s="4"/>
      <c r="X60" s="4"/>
      <c r="Y60" s="4"/>
      <c r="Z60" s="1"/>
      <c r="AA60" s="1"/>
    </row>
    <row r="61" spans="1:27" ht="12.75">
      <c r="A61" s="38">
        <f t="shared" si="0"/>
        <v>47</v>
      </c>
      <c r="B61" s="11" t="s">
        <v>228</v>
      </c>
      <c r="C61" s="4">
        <f t="shared" si="2"/>
        <v>15660</v>
      </c>
      <c r="D61" s="4">
        <f t="shared" si="3"/>
        <v>15660</v>
      </c>
      <c r="E61" s="4"/>
      <c r="F61" s="4"/>
      <c r="G61" s="4">
        <f t="shared" si="4"/>
        <v>15660</v>
      </c>
      <c r="H61" s="4"/>
      <c r="I61" s="4">
        <f t="shared" si="5"/>
        <v>15660</v>
      </c>
      <c r="J61" s="4">
        <f t="shared" si="5"/>
        <v>0</v>
      </c>
      <c r="K61" s="4">
        <f t="shared" si="5"/>
        <v>0</v>
      </c>
      <c r="L61" s="4"/>
      <c r="M61" s="14">
        <v>15660</v>
      </c>
      <c r="N61" s="14">
        <v>0</v>
      </c>
      <c r="O61" s="14">
        <v>0</v>
      </c>
      <c r="P61" s="4"/>
      <c r="Q61" s="14">
        <v>15660</v>
      </c>
      <c r="R61" s="14">
        <v>0</v>
      </c>
      <c r="S61" s="14">
        <v>0</v>
      </c>
      <c r="T61" s="4"/>
      <c r="U61" s="4"/>
      <c r="V61" s="4"/>
      <c r="W61" s="4"/>
      <c r="X61" s="4"/>
      <c r="Y61" s="4"/>
      <c r="Z61" s="1"/>
      <c r="AA61" s="1"/>
    </row>
    <row r="62" spans="1:27" ht="12.75">
      <c r="A62" s="38">
        <f t="shared" si="0"/>
        <v>48</v>
      </c>
      <c r="B62" s="11" t="s">
        <v>229</v>
      </c>
      <c r="C62" s="4">
        <f t="shared" si="2"/>
        <v>99325</v>
      </c>
      <c r="D62" s="4">
        <f t="shared" si="3"/>
        <v>99325</v>
      </c>
      <c r="E62" s="4"/>
      <c r="F62" s="4"/>
      <c r="G62" s="4">
        <f t="shared" si="4"/>
        <v>99325</v>
      </c>
      <c r="H62" s="4"/>
      <c r="I62" s="4">
        <f t="shared" si="5"/>
        <v>99325</v>
      </c>
      <c r="J62" s="4">
        <f t="shared" si="5"/>
        <v>0</v>
      </c>
      <c r="K62" s="4">
        <f t="shared" si="5"/>
        <v>0</v>
      </c>
      <c r="L62" s="4"/>
      <c r="M62" s="14">
        <v>99325</v>
      </c>
      <c r="N62" s="14">
        <v>0</v>
      </c>
      <c r="O62" s="14">
        <v>0</v>
      </c>
      <c r="P62" s="4"/>
      <c r="Q62" s="14">
        <v>99325</v>
      </c>
      <c r="R62" s="14">
        <v>0</v>
      </c>
      <c r="S62" s="14">
        <v>0</v>
      </c>
      <c r="T62" s="4"/>
      <c r="U62" s="4"/>
      <c r="V62" s="4"/>
      <c r="W62" s="4"/>
      <c r="X62" s="4"/>
      <c r="Y62" s="4"/>
      <c r="Z62" s="1"/>
      <c r="AA62" s="1"/>
    </row>
    <row r="63" spans="1:27" ht="12.75">
      <c r="A63" s="38">
        <f t="shared" si="0"/>
        <v>49</v>
      </c>
      <c r="B63" s="11" t="s">
        <v>230</v>
      </c>
      <c r="C63" s="4">
        <f t="shared" si="2"/>
        <v>6218</v>
      </c>
      <c r="D63" s="4">
        <f t="shared" si="3"/>
        <v>6218</v>
      </c>
      <c r="E63" s="4"/>
      <c r="F63" s="4"/>
      <c r="G63" s="4">
        <f t="shared" si="4"/>
        <v>6218</v>
      </c>
      <c r="H63" s="4"/>
      <c r="I63" s="4">
        <f t="shared" si="5"/>
        <v>6218</v>
      </c>
      <c r="J63" s="4">
        <f t="shared" si="5"/>
        <v>0</v>
      </c>
      <c r="K63" s="4">
        <f t="shared" si="5"/>
        <v>0</v>
      </c>
      <c r="L63" s="4"/>
      <c r="M63" s="14">
        <v>6218</v>
      </c>
      <c r="N63" s="14">
        <v>0</v>
      </c>
      <c r="O63" s="14">
        <v>0</v>
      </c>
      <c r="P63" s="4"/>
      <c r="Q63" s="14">
        <v>6218</v>
      </c>
      <c r="R63" s="14">
        <v>0</v>
      </c>
      <c r="S63" s="14">
        <v>0</v>
      </c>
      <c r="T63" s="4"/>
      <c r="U63" s="4"/>
      <c r="V63" s="4"/>
      <c r="W63" s="4"/>
      <c r="X63" s="4"/>
      <c r="Y63" s="4"/>
      <c r="Z63" s="1"/>
      <c r="AA63" s="1"/>
    </row>
    <row r="64" spans="1:27" ht="12.75">
      <c r="A64" s="38">
        <f t="shared" si="0"/>
        <v>50</v>
      </c>
      <c r="B64" s="13" t="s">
        <v>231</v>
      </c>
      <c r="C64" s="4">
        <f>SUM(M64:O64)</f>
        <v>160441</v>
      </c>
      <c r="D64" s="4">
        <f>SUM(Q64:S64)</f>
        <v>160441</v>
      </c>
      <c r="E64" s="4"/>
      <c r="F64" s="4"/>
      <c r="G64" s="4">
        <f>ROUND(SUM(C64:F64)/2,0)</f>
        <v>160441</v>
      </c>
      <c r="H64" s="4"/>
      <c r="I64" s="4">
        <f t="shared" si="5"/>
        <v>160441</v>
      </c>
      <c r="J64" s="4">
        <f t="shared" si="5"/>
        <v>0</v>
      </c>
      <c r="K64" s="4">
        <f t="shared" si="5"/>
        <v>0</v>
      </c>
      <c r="L64" s="4"/>
      <c r="M64" s="14">
        <v>160441</v>
      </c>
      <c r="N64" s="14">
        <v>0</v>
      </c>
      <c r="O64" s="14">
        <v>0</v>
      </c>
      <c r="P64" s="4"/>
      <c r="Q64" s="14">
        <v>160441</v>
      </c>
      <c r="R64" s="14">
        <v>0</v>
      </c>
      <c r="S64" s="14">
        <v>0</v>
      </c>
      <c r="T64" s="4"/>
      <c r="U64" s="4"/>
      <c r="V64" s="4"/>
      <c r="W64" s="4"/>
      <c r="X64" s="4"/>
      <c r="Y64" s="4"/>
      <c r="Z64" s="1"/>
      <c r="AA64" s="1"/>
    </row>
    <row r="65" spans="1:27" ht="12.75">
      <c r="A65" s="38">
        <f t="shared" si="0"/>
        <v>51</v>
      </c>
      <c r="B65" s="11" t="s">
        <v>232</v>
      </c>
      <c r="C65" s="4">
        <f t="shared" si="2"/>
        <v>380022.85</v>
      </c>
      <c r="D65" s="4">
        <f t="shared" si="3"/>
        <v>380022.85</v>
      </c>
      <c r="E65" s="4"/>
      <c r="F65" s="4"/>
      <c r="G65" s="4">
        <f t="shared" si="4"/>
        <v>380023</v>
      </c>
      <c r="H65" s="4"/>
      <c r="I65" s="4">
        <f t="shared" si="5"/>
        <v>380022.85</v>
      </c>
      <c r="J65" s="4">
        <f t="shared" si="5"/>
        <v>0</v>
      </c>
      <c r="K65" s="4">
        <f t="shared" si="5"/>
        <v>0</v>
      </c>
      <c r="L65" s="4"/>
      <c r="M65" s="14">
        <v>380022.85</v>
      </c>
      <c r="N65" s="14">
        <v>0</v>
      </c>
      <c r="O65" s="14">
        <v>0</v>
      </c>
      <c r="P65" s="4"/>
      <c r="Q65" s="14">
        <v>380022.85</v>
      </c>
      <c r="R65" s="14">
        <v>0</v>
      </c>
      <c r="S65" s="14">
        <v>0</v>
      </c>
      <c r="T65" s="4"/>
      <c r="U65" s="4"/>
      <c r="V65" s="4"/>
      <c r="W65" s="4"/>
      <c r="X65" s="4"/>
      <c r="Y65" s="4"/>
      <c r="Z65" s="1"/>
      <c r="AA65" s="1"/>
    </row>
    <row r="66" spans="1:27" ht="12.75">
      <c r="A66" s="38">
        <f t="shared" si="0"/>
        <v>52</v>
      </c>
      <c r="B66" s="11" t="s">
        <v>233</v>
      </c>
      <c r="C66" s="4">
        <f aca="true" t="shared" si="7" ref="C66:C81">SUM(M66:O66)</f>
        <v>-125145</v>
      </c>
      <c r="D66" s="4">
        <f t="shared" si="3"/>
        <v>-125145</v>
      </c>
      <c r="E66" s="4"/>
      <c r="F66" s="4"/>
      <c r="G66" s="4">
        <f t="shared" si="4"/>
        <v>-125145</v>
      </c>
      <c r="H66" s="4"/>
      <c r="I66" s="4">
        <f t="shared" si="5"/>
        <v>-125145</v>
      </c>
      <c r="J66" s="4">
        <f t="shared" si="5"/>
        <v>0</v>
      </c>
      <c r="K66" s="4">
        <f t="shared" si="5"/>
        <v>0</v>
      </c>
      <c r="L66" s="4"/>
      <c r="M66" s="14">
        <v>-125145</v>
      </c>
      <c r="N66" s="14">
        <v>0</v>
      </c>
      <c r="O66" s="14">
        <v>0</v>
      </c>
      <c r="P66" s="4"/>
      <c r="Q66" s="14">
        <v>-125145</v>
      </c>
      <c r="R66" s="14">
        <v>0</v>
      </c>
      <c r="S66" s="14">
        <v>0</v>
      </c>
      <c r="T66" s="4"/>
      <c r="U66" s="4"/>
      <c r="V66" s="4"/>
      <c r="W66" s="4"/>
      <c r="X66" s="4"/>
      <c r="Y66" s="4"/>
      <c r="Z66" s="1"/>
      <c r="AA66" s="1"/>
    </row>
    <row r="67" spans="1:27" ht="12.75">
      <c r="A67" s="38">
        <f t="shared" si="0"/>
        <v>53</v>
      </c>
      <c r="B67" s="11" t="s">
        <v>234</v>
      </c>
      <c r="C67" s="4">
        <f t="shared" si="7"/>
        <v>724476.38</v>
      </c>
      <c r="D67" s="4">
        <f t="shared" si="3"/>
        <v>672814.56</v>
      </c>
      <c r="E67" s="4"/>
      <c r="F67" s="4"/>
      <c r="G67" s="4">
        <f t="shared" si="4"/>
        <v>698645</v>
      </c>
      <c r="H67" s="4"/>
      <c r="I67" s="4">
        <f t="shared" si="5"/>
        <v>0</v>
      </c>
      <c r="J67" s="4">
        <f t="shared" si="5"/>
        <v>0</v>
      </c>
      <c r="K67" s="4">
        <f t="shared" si="5"/>
        <v>698645.47</v>
      </c>
      <c r="L67" s="4"/>
      <c r="M67" s="14">
        <v>0</v>
      </c>
      <c r="N67" s="14">
        <v>0</v>
      </c>
      <c r="O67" s="14">
        <v>724476.38</v>
      </c>
      <c r="P67" s="4"/>
      <c r="Q67" s="14">
        <v>0</v>
      </c>
      <c r="R67" s="14">
        <v>0</v>
      </c>
      <c r="S67" s="14">
        <v>672814.56</v>
      </c>
      <c r="T67" s="4"/>
      <c r="U67" s="4"/>
      <c r="V67" s="4"/>
      <c r="W67" s="4"/>
      <c r="X67" s="4"/>
      <c r="Y67" s="4"/>
      <c r="Z67" s="1"/>
      <c r="AA67" s="1"/>
    </row>
    <row r="68" spans="1:27" ht="12.75">
      <c r="A68" s="38">
        <f t="shared" si="0"/>
        <v>54</v>
      </c>
      <c r="B68" s="11" t="s">
        <v>235</v>
      </c>
      <c r="C68" s="4">
        <f t="shared" si="7"/>
        <v>451167.98</v>
      </c>
      <c r="D68" s="4">
        <f>SUM(Q68:S68)</f>
        <v>515620.47</v>
      </c>
      <c r="E68" s="4"/>
      <c r="F68" s="4"/>
      <c r="G68" s="4">
        <f>ROUND(SUM(C68:F68)/2,0)</f>
        <v>483394</v>
      </c>
      <c r="H68" s="4"/>
      <c r="I68" s="4">
        <f t="shared" si="5"/>
        <v>0</v>
      </c>
      <c r="J68" s="4">
        <f t="shared" si="5"/>
        <v>483394.225</v>
      </c>
      <c r="K68" s="4">
        <f t="shared" si="5"/>
        <v>0</v>
      </c>
      <c r="L68" s="4"/>
      <c r="M68" s="14">
        <v>0</v>
      </c>
      <c r="N68" s="14">
        <v>451167.98</v>
      </c>
      <c r="O68" s="14">
        <v>0</v>
      </c>
      <c r="P68" s="4"/>
      <c r="Q68" s="14">
        <v>0</v>
      </c>
      <c r="R68" s="14">
        <v>515620.47</v>
      </c>
      <c r="S68" s="14">
        <v>0</v>
      </c>
      <c r="T68" s="4"/>
      <c r="U68" s="4"/>
      <c r="V68" s="4"/>
      <c r="W68" s="4"/>
      <c r="X68" s="4"/>
      <c r="Y68" s="4"/>
      <c r="Z68" s="1"/>
      <c r="AA68" s="1"/>
    </row>
    <row r="69" spans="1:27" ht="12.75">
      <c r="A69" s="38">
        <f t="shared" si="0"/>
        <v>55</v>
      </c>
      <c r="B69" s="11" t="s">
        <v>236</v>
      </c>
      <c r="C69" s="4">
        <f t="shared" si="7"/>
        <v>2927476.6</v>
      </c>
      <c r="D69" s="4">
        <f t="shared" si="3"/>
        <v>5820999.77</v>
      </c>
      <c r="E69" s="4"/>
      <c r="F69" s="4"/>
      <c r="G69" s="4">
        <f t="shared" si="4"/>
        <v>4374238</v>
      </c>
      <c r="H69" s="4"/>
      <c r="I69" s="4">
        <f t="shared" si="5"/>
        <v>4374238.185</v>
      </c>
      <c r="J69" s="4">
        <f t="shared" si="5"/>
        <v>0</v>
      </c>
      <c r="K69" s="4">
        <f t="shared" si="5"/>
        <v>0</v>
      </c>
      <c r="L69" s="4"/>
      <c r="M69" s="14">
        <v>2927476.6</v>
      </c>
      <c r="N69" s="14">
        <v>0</v>
      </c>
      <c r="O69" s="14">
        <v>0</v>
      </c>
      <c r="P69" s="4"/>
      <c r="Q69" s="14">
        <v>5820999.77</v>
      </c>
      <c r="R69" s="14">
        <v>0</v>
      </c>
      <c r="S69" s="14">
        <v>0</v>
      </c>
      <c r="T69" s="4"/>
      <c r="U69" s="4"/>
      <c r="V69" s="4"/>
      <c r="W69" s="4"/>
      <c r="X69" s="4"/>
      <c r="Y69" s="4"/>
      <c r="Z69" s="1"/>
      <c r="AA69" s="1"/>
    </row>
    <row r="70" spans="1:27" ht="12.75">
      <c r="A70" s="38">
        <f t="shared" si="0"/>
        <v>56</v>
      </c>
      <c r="B70" s="11" t="s">
        <v>237</v>
      </c>
      <c r="C70" s="4">
        <f t="shared" si="7"/>
        <v>1385418.65</v>
      </c>
      <c r="D70" s="4">
        <f>SUM(Q70:S70)</f>
        <v>1479038.75</v>
      </c>
      <c r="E70" s="4"/>
      <c r="F70" s="4"/>
      <c r="G70" s="4">
        <f>ROUND(SUM(C70:F70)/2,0)</f>
        <v>1432229</v>
      </c>
      <c r="H70" s="4"/>
      <c r="I70" s="4">
        <f t="shared" si="5"/>
        <v>1432228.7</v>
      </c>
      <c r="J70" s="4">
        <f t="shared" si="5"/>
        <v>0</v>
      </c>
      <c r="K70" s="4">
        <f t="shared" si="5"/>
        <v>0</v>
      </c>
      <c r="L70" s="4"/>
      <c r="M70" s="14">
        <v>1385418.65</v>
      </c>
      <c r="N70" s="14">
        <v>0</v>
      </c>
      <c r="O70" s="14">
        <v>0</v>
      </c>
      <c r="P70" s="4"/>
      <c r="Q70" s="14">
        <v>1479038.75</v>
      </c>
      <c r="R70" s="14">
        <v>0</v>
      </c>
      <c r="S70" s="14">
        <v>0</v>
      </c>
      <c r="T70" s="4"/>
      <c r="U70" s="4"/>
      <c r="V70" s="4"/>
      <c r="W70" s="4"/>
      <c r="X70" s="4"/>
      <c r="Y70" s="4"/>
      <c r="Z70" s="1"/>
      <c r="AA70" s="1"/>
    </row>
    <row r="71" spans="1:27" ht="12.75">
      <c r="A71" s="38">
        <f t="shared" si="0"/>
        <v>57</v>
      </c>
      <c r="B71" s="11" t="s">
        <v>238</v>
      </c>
      <c r="C71" s="4">
        <f t="shared" si="7"/>
        <v>51023.1</v>
      </c>
      <c r="D71" s="4">
        <f t="shared" si="3"/>
        <v>40979.15</v>
      </c>
      <c r="E71" s="4"/>
      <c r="F71" s="4"/>
      <c r="G71" s="4">
        <f t="shared" si="4"/>
        <v>46001</v>
      </c>
      <c r="H71" s="4"/>
      <c r="I71" s="4">
        <f t="shared" si="5"/>
        <v>4490.425</v>
      </c>
      <c r="J71" s="4">
        <f t="shared" si="5"/>
        <v>-167.35</v>
      </c>
      <c r="K71" s="4">
        <f t="shared" si="5"/>
        <v>41678.05</v>
      </c>
      <c r="L71" s="4"/>
      <c r="M71" s="14">
        <v>1525.4</v>
      </c>
      <c r="N71" s="14">
        <v>-360.9</v>
      </c>
      <c r="O71" s="14">
        <v>49858.6</v>
      </c>
      <c r="P71" s="4"/>
      <c r="Q71" s="14">
        <v>7455.45</v>
      </c>
      <c r="R71" s="14">
        <v>26.2</v>
      </c>
      <c r="S71" s="14">
        <v>33497.5</v>
      </c>
      <c r="T71" s="4"/>
      <c r="U71" s="4"/>
      <c r="V71" s="4"/>
      <c r="W71" s="4"/>
      <c r="X71" s="4"/>
      <c r="Y71" s="4"/>
      <c r="Z71" s="1"/>
      <c r="AA71" s="1"/>
    </row>
    <row r="72" spans="1:27" ht="12.75">
      <c r="A72" s="38">
        <f t="shared" si="0"/>
        <v>58</v>
      </c>
      <c r="B72" s="11" t="s">
        <v>239</v>
      </c>
      <c r="C72" s="4">
        <f t="shared" si="7"/>
        <v>1385626.93</v>
      </c>
      <c r="D72" s="4">
        <f t="shared" si="3"/>
        <v>1562326</v>
      </c>
      <c r="E72" s="4"/>
      <c r="F72" s="4"/>
      <c r="G72" s="4">
        <f t="shared" si="4"/>
        <v>1473976</v>
      </c>
      <c r="H72" s="4"/>
      <c r="I72" s="4">
        <f t="shared" si="5"/>
        <v>0</v>
      </c>
      <c r="J72" s="4">
        <f t="shared" si="5"/>
        <v>1473976.4649999999</v>
      </c>
      <c r="K72" s="4">
        <f t="shared" si="5"/>
        <v>0</v>
      </c>
      <c r="L72" s="4"/>
      <c r="M72" s="14">
        <v>0</v>
      </c>
      <c r="N72" s="14">
        <v>1385626.93</v>
      </c>
      <c r="O72" s="14">
        <v>0</v>
      </c>
      <c r="P72" s="4"/>
      <c r="Q72" s="14">
        <v>0</v>
      </c>
      <c r="R72" s="14">
        <v>1562326</v>
      </c>
      <c r="S72" s="14">
        <v>0</v>
      </c>
      <c r="T72" s="4"/>
      <c r="U72" s="4"/>
      <c r="V72" s="4"/>
      <c r="W72" s="4"/>
      <c r="X72" s="4"/>
      <c r="Y72" s="4"/>
      <c r="Z72" s="1"/>
      <c r="AA72" s="1"/>
    </row>
    <row r="73" spans="1:27" ht="12.75">
      <c r="A73" s="38">
        <f t="shared" si="0"/>
        <v>59</v>
      </c>
      <c r="B73" s="11" t="s">
        <v>240</v>
      </c>
      <c r="C73" s="4">
        <f t="shared" si="7"/>
        <v>-3712600.95</v>
      </c>
      <c r="D73" s="4">
        <f t="shared" si="3"/>
        <v>903483.1699999999</v>
      </c>
      <c r="E73" s="4"/>
      <c r="F73" s="4"/>
      <c r="G73" s="4">
        <f t="shared" si="4"/>
        <v>-1404559</v>
      </c>
      <c r="H73" s="4"/>
      <c r="I73" s="4">
        <f t="shared" si="5"/>
        <v>-902094.735</v>
      </c>
      <c r="J73" s="4">
        <f t="shared" si="5"/>
        <v>-124746.82999999999</v>
      </c>
      <c r="K73" s="4">
        <f t="shared" si="5"/>
        <v>-377717.32500000007</v>
      </c>
      <c r="L73" s="4"/>
      <c r="M73" s="14">
        <v>-1920866.93</v>
      </c>
      <c r="N73" s="14">
        <v>-346402.17</v>
      </c>
      <c r="O73" s="14">
        <v>-1445331.85</v>
      </c>
      <c r="P73" s="4"/>
      <c r="Q73" s="14">
        <v>116677.46</v>
      </c>
      <c r="R73" s="14">
        <v>96908.51</v>
      </c>
      <c r="S73" s="14">
        <v>689897.2</v>
      </c>
      <c r="T73" s="4"/>
      <c r="U73" s="4"/>
      <c r="V73" s="4"/>
      <c r="W73" s="4"/>
      <c r="X73" s="4"/>
      <c r="Y73" s="4"/>
      <c r="Z73" s="1"/>
      <c r="AA73" s="1"/>
    </row>
    <row r="74" spans="1:27" ht="12.75">
      <c r="A74" s="38">
        <f t="shared" si="0"/>
        <v>60</v>
      </c>
      <c r="B74" s="11" t="s">
        <v>241</v>
      </c>
      <c r="C74" s="4">
        <f t="shared" si="7"/>
        <v>11569715.85</v>
      </c>
      <c r="D74" s="4">
        <f>SUM(Q74:S74)</f>
        <v>11569715.85</v>
      </c>
      <c r="E74" s="4"/>
      <c r="F74" s="4"/>
      <c r="G74" s="4">
        <f>ROUND(SUM(C74:F74)/2,0)</f>
        <v>11569716</v>
      </c>
      <c r="H74" s="4"/>
      <c r="I74" s="4">
        <f t="shared" si="5"/>
        <v>5813426.5</v>
      </c>
      <c r="J74" s="4">
        <f t="shared" si="5"/>
        <v>523254.55</v>
      </c>
      <c r="K74" s="4">
        <f t="shared" si="5"/>
        <v>5233034.8</v>
      </c>
      <c r="L74" s="4"/>
      <c r="M74" s="14">
        <v>5813426.5</v>
      </c>
      <c r="N74" s="14">
        <v>523254.55</v>
      </c>
      <c r="O74" s="14">
        <v>5233034.8</v>
      </c>
      <c r="P74" s="4"/>
      <c r="Q74" s="14">
        <v>5813426.5</v>
      </c>
      <c r="R74" s="14">
        <v>523254.55</v>
      </c>
      <c r="S74" s="14">
        <v>5233034.8</v>
      </c>
      <c r="T74" s="4"/>
      <c r="U74" s="4"/>
      <c r="V74" s="4"/>
      <c r="W74" s="4"/>
      <c r="X74" s="4"/>
      <c r="Y74" s="4"/>
      <c r="Z74" s="1"/>
      <c r="AA74" s="1"/>
    </row>
    <row r="75" spans="1:27" ht="12.75">
      <c r="A75" s="38">
        <f t="shared" si="0"/>
        <v>61</v>
      </c>
      <c r="B75" s="11" t="s">
        <v>242</v>
      </c>
      <c r="C75" s="4">
        <f t="shared" si="7"/>
        <v>-246151.80000000002</v>
      </c>
      <c r="D75" s="4">
        <f>SUM(Q75:S75)</f>
        <v>-7115595.199999999</v>
      </c>
      <c r="E75" s="4"/>
      <c r="F75" s="4"/>
      <c r="G75" s="4">
        <f>ROUND(SUM(C75:F75)/2,0)</f>
        <v>-3680874</v>
      </c>
      <c r="H75" s="4"/>
      <c r="I75" s="4">
        <f t="shared" si="5"/>
        <v>-1641039.63</v>
      </c>
      <c r="J75" s="4">
        <f t="shared" si="5"/>
        <v>-131719.58000000002</v>
      </c>
      <c r="K75" s="4">
        <f t="shared" si="5"/>
        <v>-1908114.29</v>
      </c>
      <c r="L75" s="4"/>
      <c r="M75" s="14">
        <v>-190438.76</v>
      </c>
      <c r="N75" s="14">
        <v>104325.35</v>
      </c>
      <c r="O75" s="14">
        <v>-160038.39</v>
      </c>
      <c r="P75" s="4"/>
      <c r="Q75" s="14">
        <v>-3091640.5</v>
      </c>
      <c r="R75" s="14">
        <v>-367764.51</v>
      </c>
      <c r="S75" s="14">
        <v>-3656190.19</v>
      </c>
      <c r="T75" s="4"/>
      <c r="U75" s="4"/>
      <c r="V75" s="4"/>
      <c r="W75" s="4"/>
      <c r="X75" s="4"/>
      <c r="Y75" s="4"/>
      <c r="Z75" s="1"/>
      <c r="AA75" s="1"/>
    </row>
    <row r="76" spans="1:27" ht="12.75">
      <c r="A76" s="38">
        <f t="shared" si="0"/>
        <v>62</v>
      </c>
      <c r="B76" s="11" t="s">
        <v>243</v>
      </c>
      <c r="C76" s="4">
        <f t="shared" si="7"/>
        <v>6894297.43</v>
      </c>
      <c r="D76" s="4">
        <f t="shared" si="3"/>
        <v>6244055.13</v>
      </c>
      <c r="E76" s="4"/>
      <c r="F76" s="4"/>
      <c r="G76" s="4">
        <f t="shared" si="4"/>
        <v>6569176</v>
      </c>
      <c r="H76" s="4"/>
      <c r="I76" s="4">
        <f t="shared" si="5"/>
        <v>3140299.48</v>
      </c>
      <c r="J76" s="4">
        <f t="shared" si="5"/>
        <v>499095.365</v>
      </c>
      <c r="K76" s="4">
        <f t="shared" si="5"/>
        <v>2929781.435</v>
      </c>
      <c r="L76" s="4"/>
      <c r="M76" s="14">
        <v>3064052.38</v>
      </c>
      <c r="N76" s="14">
        <v>521215.01</v>
      </c>
      <c r="O76" s="14">
        <v>3309030.04</v>
      </c>
      <c r="P76" s="4"/>
      <c r="Q76" s="14">
        <v>3216546.58</v>
      </c>
      <c r="R76" s="14">
        <v>476975.72</v>
      </c>
      <c r="S76" s="14">
        <v>2550532.83</v>
      </c>
      <c r="T76" s="4"/>
      <c r="U76" s="4"/>
      <c r="V76" s="4"/>
      <c r="W76" s="4"/>
      <c r="X76" s="4"/>
      <c r="Y76" s="4"/>
      <c r="Z76" s="1"/>
      <c r="AA76" s="1"/>
    </row>
    <row r="77" spans="1:27" ht="12.75">
      <c r="A77" s="38">
        <f t="shared" si="0"/>
        <v>63</v>
      </c>
      <c r="B77" s="11" t="s">
        <v>244</v>
      </c>
      <c r="C77" s="4">
        <f t="shared" si="7"/>
        <v>45053649.78</v>
      </c>
      <c r="D77" s="4">
        <f t="shared" si="3"/>
        <v>47992916.779999994</v>
      </c>
      <c r="E77" s="4"/>
      <c r="F77" s="4"/>
      <c r="G77" s="4">
        <f t="shared" si="4"/>
        <v>46523283</v>
      </c>
      <c r="H77" s="4"/>
      <c r="I77" s="4">
        <f t="shared" si="5"/>
        <v>46119809.849999994</v>
      </c>
      <c r="J77" s="4">
        <f t="shared" si="5"/>
        <v>7449.65</v>
      </c>
      <c r="K77" s="4">
        <f t="shared" si="5"/>
        <v>396023.78</v>
      </c>
      <c r="L77" s="4"/>
      <c r="M77" s="14">
        <v>44658522.79</v>
      </c>
      <c r="N77" s="14">
        <v>7676.9</v>
      </c>
      <c r="O77" s="14">
        <v>387450.09</v>
      </c>
      <c r="P77" s="4"/>
      <c r="Q77" s="14">
        <v>47581096.91</v>
      </c>
      <c r="R77" s="14">
        <v>7222.4</v>
      </c>
      <c r="S77" s="14">
        <v>404597.47</v>
      </c>
      <c r="T77" s="4"/>
      <c r="U77" s="4"/>
      <c r="V77" s="4"/>
      <c r="W77" s="4"/>
      <c r="X77" s="4"/>
      <c r="Y77" s="4"/>
      <c r="Z77" s="1"/>
      <c r="AA77" s="1"/>
    </row>
    <row r="78" spans="1:27" ht="12.75">
      <c r="A78" s="38">
        <f t="shared" si="0"/>
        <v>64</v>
      </c>
      <c r="B78" s="11" t="s">
        <v>245</v>
      </c>
      <c r="C78" s="4">
        <f>SUM(M78:O78)</f>
        <v>4071513.35</v>
      </c>
      <c r="D78" s="4">
        <f>SUM(Q78:S78)</f>
        <v>4001217.1</v>
      </c>
      <c r="E78" s="4"/>
      <c r="F78" s="4"/>
      <c r="G78" s="4">
        <f>ROUND(SUM(C78:F78)/2,0)</f>
        <v>4036365</v>
      </c>
      <c r="H78" s="4"/>
      <c r="I78" s="4">
        <f>(M78+Q78)/2</f>
        <v>4036365.225</v>
      </c>
      <c r="J78" s="4">
        <f>(N78+R78)/2</f>
        <v>0</v>
      </c>
      <c r="K78" s="4">
        <f>(O78+S78)/2</f>
        <v>0</v>
      </c>
      <c r="L78" s="4"/>
      <c r="M78" s="14">
        <v>4071513.35</v>
      </c>
      <c r="N78" s="14">
        <v>0</v>
      </c>
      <c r="O78" s="14">
        <v>0</v>
      </c>
      <c r="P78" s="4"/>
      <c r="Q78" s="14">
        <v>4001217.1</v>
      </c>
      <c r="R78" s="14">
        <v>0</v>
      </c>
      <c r="S78" s="14">
        <v>0</v>
      </c>
      <c r="T78" s="4"/>
      <c r="U78" s="4"/>
      <c r="V78" s="4"/>
      <c r="W78" s="4"/>
      <c r="X78" s="4"/>
      <c r="Y78" s="4"/>
      <c r="Z78" s="1"/>
      <c r="AA78" s="1"/>
    </row>
    <row r="79" spans="1:27" ht="12.75">
      <c r="A79" s="38">
        <f t="shared" si="0"/>
        <v>65</v>
      </c>
      <c r="B79" s="11" t="s">
        <v>246</v>
      </c>
      <c r="C79" s="4">
        <f t="shared" si="7"/>
        <v>-5729453.37</v>
      </c>
      <c r="D79" s="4">
        <f>SUM(Q79:S79)</f>
        <v>-5729453.37</v>
      </c>
      <c r="E79" s="4"/>
      <c r="F79" s="4"/>
      <c r="G79" s="4">
        <f>ROUND(SUM(C79:F79)/2,0)</f>
        <v>-5729453</v>
      </c>
      <c r="H79" s="4"/>
      <c r="I79" s="4">
        <f t="shared" si="5"/>
        <v>-2430799.54</v>
      </c>
      <c r="J79" s="4">
        <f t="shared" si="5"/>
        <v>-350341.9</v>
      </c>
      <c r="K79" s="4">
        <f t="shared" si="5"/>
        <v>-2948311.93</v>
      </c>
      <c r="L79" s="4"/>
      <c r="M79" s="14">
        <v>-2430799.54</v>
      </c>
      <c r="N79" s="14">
        <v>-350341.9</v>
      </c>
      <c r="O79" s="14">
        <v>-2948311.93</v>
      </c>
      <c r="P79" s="4"/>
      <c r="Q79" s="14">
        <v>-2430799.54</v>
      </c>
      <c r="R79" s="14">
        <v>-350341.9</v>
      </c>
      <c r="S79" s="14">
        <v>-2948311.93</v>
      </c>
      <c r="T79" s="4"/>
      <c r="U79" s="4"/>
      <c r="V79" s="4"/>
      <c r="W79" s="4"/>
      <c r="X79" s="4"/>
      <c r="Y79" s="4"/>
      <c r="Z79" s="1"/>
      <c r="AA79" s="1"/>
    </row>
    <row r="80" spans="1:25" s="1" customFormat="1" ht="12.75">
      <c r="A80" s="38">
        <f aca="true" t="shared" si="8" ref="A80:A109">A79+1</f>
        <v>66</v>
      </c>
      <c r="B80" s="13" t="s">
        <v>247</v>
      </c>
      <c r="C80" s="4">
        <f t="shared" si="7"/>
        <v>121212.84</v>
      </c>
      <c r="D80" s="4">
        <f>SUM(Q80:S80)</f>
        <v>121212.84</v>
      </c>
      <c r="E80" s="4"/>
      <c r="F80" s="4"/>
      <c r="G80" s="4">
        <f>ROUND(SUM(C80:F80)/2,0)</f>
        <v>121213</v>
      </c>
      <c r="H80" s="4"/>
      <c r="I80" s="4">
        <f t="shared" si="5"/>
        <v>121212.84</v>
      </c>
      <c r="J80" s="4">
        <f t="shared" si="5"/>
        <v>0</v>
      </c>
      <c r="K80" s="4">
        <f t="shared" si="5"/>
        <v>0</v>
      </c>
      <c r="L80" s="4"/>
      <c r="M80" s="14">
        <v>121212.84</v>
      </c>
      <c r="N80" s="14">
        <v>0</v>
      </c>
      <c r="O80" s="14">
        <v>0</v>
      </c>
      <c r="P80" s="4"/>
      <c r="Q80" s="14">
        <v>121212.84</v>
      </c>
      <c r="R80" s="14">
        <v>0</v>
      </c>
      <c r="S80" s="14">
        <v>0</v>
      </c>
      <c r="T80" s="4"/>
      <c r="U80" s="4"/>
      <c r="V80" s="4"/>
      <c r="W80" s="4"/>
      <c r="X80" s="4"/>
      <c r="Y80" s="4"/>
    </row>
    <row r="81" spans="1:27" ht="12.75">
      <c r="A81" s="38">
        <f t="shared" si="8"/>
        <v>67</v>
      </c>
      <c r="B81" s="11" t="s">
        <v>248</v>
      </c>
      <c r="C81" s="4">
        <f t="shared" si="7"/>
        <v>99027125.35</v>
      </c>
      <c r="D81" s="4">
        <f t="shared" si="3"/>
        <v>91945901.19999999</v>
      </c>
      <c r="E81" s="4"/>
      <c r="F81" s="4"/>
      <c r="G81" s="4">
        <f t="shared" si="4"/>
        <v>95486513</v>
      </c>
      <c r="H81" s="4"/>
      <c r="I81" s="4">
        <f t="shared" si="5"/>
        <v>13942292.774999999</v>
      </c>
      <c r="J81" s="4">
        <f t="shared" si="5"/>
        <v>28985116.575000003</v>
      </c>
      <c r="K81" s="4">
        <f t="shared" si="5"/>
        <v>52559103.925</v>
      </c>
      <c r="L81" s="4"/>
      <c r="M81" s="14">
        <v>14651399.6</v>
      </c>
      <c r="N81" s="14">
        <v>29695808.55</v>
      </c>
      <c r="O81" s="14">
        <v>54679917.2</v>
      </c>
      <c r="P81" s="4"/>
      <c r="Q81" s="14">
        <v>13233185.95</v>
      </c>
      <c r="R81" s="14">
        <v>28274424.6</v>
      </c>
      <c r="S81" s="14">
        <v>50438290.65</v>
      </c>
      <c r="T81" s="4"/>
      <c r="U81" s="4"/>
      <c r="V81" s="4"/>
      <c r="W81" s="4"/>
      <c r="X81" s="4"/>
      <c r="Y81" s="4"/>
      <c r="Z81" s="1"/>
      <c r="AA81" s="1"/>
    </row>
    <row r="82" spans="1:27" ht="12.75">
      <c r="A82" s="38">
        <f t="shared" si="8"/>
        <v>68</v>
      </c>
      <c r="B82" s="11" t="s">
        <v>249</v>
      </c>
      <c r="C82" s="4">
        <f aca="true" t="shared" si="9" ref="C82:C87">SUM(M82:O82)</f>
        <v>-17714.199999999997</v>
      </c>
      <c r="D82" s="4">
        <f t="shared" si="3"/>
        <v>-17574.9</v>
      </c>
      <c r="E82" s="4"/>
      <c r="F82" s="4"/>
      <c r="G82" s="4">
        <f t="shared" si="4"/>
        <v>-17645</v>
      </c>
      <c r="H82" s="4"/>
      <c r="I82" s="4">
        <f t="shared" si="5"/>
        <v>-1001.7</v>
      </c>
      <c r="J82" s="4">
        <f t="shared" si="5"/>
        <v>-12398.75</v>
      </c>
      <c r="K82" s="4">
        <f t="shared" si="5"/>
        <v>-4244.1</v>
      </c>
      <c r="L82" s="4"/>
      <c r="M82" s="14">
        <v>-1005.55</v>
      </c>
      <c r="N82" s="14">
        <v>-12447.75</v>
      </c>
      <c r="O82" s="14">
        <v>-4260.9</v>
      </c>
      <c r="P82" s="4"/>
      <c r="Q82" s="14">
        <v>-997.85</v>
      </c>
      <c r="R82" s="14">
        <v>-12349.75</v>
      </c>
      <c r="S82" s="14">
        <v>-4227.3</v>
      </c>
      <c r="T82" s="4"/>
      <c r="U82" s="4"/>
      <c r="V82" s="4"/>
      <c r="W82" s="4"/>
      <c r="X82" s="4"/>
      <c r="Y82" s="4"/>
      <c r="Z82" s="1"/>
      <c r="AA82" s="1"/>
    </row>
    <row r="83" spans="1:27" ht="12.75">
      <c r="A83" s="38">
        <f t="shared" si="8"/>
        <v>69</v>
      </c>
      <c r="B83" s="11" t="s">
        <v>10</v>
      </c>
      <c r="C83" s="4">
        <f t="shared" si="9"/>
        <v>21683880.499999996</v>
      </c>
      <c r="D83" s="4">
        <f aca="true" t="shared" si="10" ref="D83:D89">SUM(Q83:S83)</f>
        <v>20745935</v>
      </c>
      <c r="E83" s="4"/>
      <c r="F83" s="4"/>
      <c r="G83" s="4">
        <f>ROUND(SUM(C83:F83)/2,0)</f>
        <v>21214908</v>
      </c>
      <c r="H83" s="4"/>
      <c r="I83" s="4">
        <f t="shared" si="5"/>
        <v>13675492.779999997</v>
      </c>
      <c r="J83" s="4">
        <f t="shared" si="5"/>
        <v>3189639.685</v>
      </c>
      <c r="K83" s="4">
        <f t="shared" si="5"/>
        <v>4349775.285</v>
      </c>
      <c r="L83" s="4"/>
      <c r="M83" s="14">
        <v>14321296.159999996</v>
      </c>
      <c r="N83" s="14">
        <v>3114829.37</v>
      </c>
      <c r="O83" s="14">
        <v>4247754.97</v>
      </c>
      <c r="P83" s="4"/>
      <c r="Q83" s="14">
        <f>6596154.95-146112.05-15756626.9+20458571.7+1877701.7</f>
        <v>13029689.399999999</v>
      </c>
      <c r="R83" s="14">
        <f>+-3151505+6415955</f>
        <v>3264450</v>
      </c>
      <c r="S83" s="14">
        <f>-20880664.7+20880664.7-3865531.25+8317326.85</f>
        <v>4451795.6</v>
      </c>
      <c r="T83" s="4"/>
      <c r="U83" s="4"/>
      <c r="V83" s="4"/>
      <c r="W83" s="4"/>
      <c r="X83" s="4"/>
      <c r="Y83" s="4"/>
      <c r="Z83" s="1"/>
      <c r="AA83" s="1"/>
    </row>
    <row r="84" spans="1:27" ht="12.75">
      <c r="A84" s="38">
        <f t="shared" si="8"/>
        <v>70</v>
      </c>
      <c r="B84" s="11" t="s">
        <v>250</v>
      </c>
      <c r="C84" s="4">
        <f t="shared" si="9"/>
        <v>-783321</v>
      </c>
      <c r="D84" s="4">
        <f t="shared" si="10"/>
        <v>-783321</v>
      </c>
      <c r="E84" s="4"/>
      <c r="F84" s="4"/>
      <c r="G84" s="4">
        <f>ROUND(SUM(C84:F84)/2,0)</f>
        <v>-783321</v>
      </c>
      <c r="H84" s="4"/>
      <c r="I84" s="4">
        <f t="shared" si="5"/>
        <v>-593235.65</v>
      </c>
      <c r="J84" s="4">
        <f t="shared" si="5"/>
        <v>0</v>
      </c>
      <c r="K84" s="4">
        <f t="shared" si="5"/>
        <v>-190085.34999999998</v>
      </c>
      <c r="L84" s="4"/>
      <c r="M84" s="14">
        <v>-593235.65</v>
      </c>
      <c r="N84" s="14">
        <v>0</v>
      </c>
      <c r="O84" s="14">
        <v>-190085.34999999998</v>
      </c>
      <c r="P84" s="4"/>
      <c r="Q84" s="14">
        <f>-962030.65+368795</f>
        <v>-593235.65</v>
      </c>
      <c r="R84" s="14">
        <v>0</v>
      </c>
      <c r="S84" s="14">
        <f>-315488.35+125403</f>
        <v>-190085.34999999998</v>
      </c>
      <c r="T84" s="4"/>
      <c r="U84" s="4"/>
      <c r="V84" s="4"/>
      <c r="W84" s="4"/>
      <c r="X84" s="4"/>
      <c r="Y84" s="4"/>
      <c r="Z84" s="1"/>
      <c r="AA84" s="1"/>
    </row>
    <row r="85" spans="1:27" ht="12.75">
      <c r="A85" s="38">
        <f t="shared" si="8"/>
        <v>71</v>
      </c>
      <c r="B85" s="11" t="s">
        <v>251</v>
      </c>
      <c r="C85" s="4">
        <f t="shared" si="9"/>
        <v>190085</v>
      </c>
      <c r="D85" s="4">
        <f t="shared" si="10"/>
        <v>190085</v>
      </c>
      <c r="E85" s="4"/>
      <c r="F85" s="4"/>
      <c r="G85" s="4">
        <f>ROUND(SUM(C85:F85)/2,0)</f>
        <v>190085</v>
      </c>
      <c r="H85" s="4"/>
      <c r="I85" s="4">
        <f t="shared" si="5"/>
        <v>0</v>
      </c>
      <c r="J85" s="4">
        <f t="shared" si="5"/>
        <v>0</v>
      </c>
      <c r="K85" s="4">
        <f t="shared" si="5"/>
        <v>190085</v>
      </c>
      <c r="L85" s="4"/>
      <c r="M85" s="14">
        <v>0</v>
      </c>
      <c r="N85" s="14">
        <v>0</v>
      </c>
      <c r="O85" s="14">
        <v>190085</v>
      </c>
      <c r="P85" s="4"/>
      <c r="Q85" s="14">
        <v>0</v>
      </c>
      <c r="R85" s="14">
        <v>0</v>
      </c>
      <c r="S85" s="14">
        <f>149485+40600</f>
        <v>190085</v>
      </c>
      <c r="T85" s="4"/>
      <c r="U85" s="4"/>
      <c r="V85" s="4"/>
      <c r="W85" s="4"/>
      <c r="X85" s="4"/>
      <c r="Y85" s="4"/>
      <c r="Z85" s="1"/>
      <c r="AA85" s="1"/>
    </row>
    <row r="86" spans="1:27" ht="12.75">
      <c r="A86" s="38">
        <f t="shared" si="8"/>
        <v>72</v>
      </c>
      <c r="B86" s="11" t="s">
        <v>252</v>
      </c>
      <c r="C86" s="4">
        <f t="shared" si="9"/>
        <v>91791.29999999993</v>
      </c>
      <c r="D86" s="4">
        <f t="shared" si="10"/>
        <v>-0.15000000008149073</v>
      </c>
      <c r="E86" s="4"/>
      <c r="F86" s="4"/>
      <c r="G86" s="4">
        <f>ROUND(SUM(C86:F86)/2,0)</f>
        <v>45896</v>
      </c>
      <c r="H86" s="4"/>
      <c r="I86" s="4">
        <f t="shared" si="5"/>
        <v>0.3999999999650754</v>
      </c>
      <c r="J86" s="4">
        <f t="shared" si="5"/>
        <v>0.14999999999417923</v>
      </c>
      <c r="K86" s="4">
        <f t="shared" si="5"/>
        <v>45895.024999999965</v>
      </c>
      <c r="L86" s="4"/>
      <c r="M86" s="14">
        <v>0.3999999999650754</v>
      </c>
      <c r="N86" s="14">
        <v>0.20000000001164153</v>
      </c>
      <c r="O86" s="14">
        <v>91790.69999999995</v>
      </c>
      <c r="P86" s="4"/>
      <c r="Q86" s="14">
        <f>-369030.2+369030.6</f>
        <v>0.3999999999650754</v>
      </c>
      <c r="R86" s="14">
        <f>-468155.9+468156</f>
        <v>0.09999999997671694</v>
      </c>
      <c r="S86" s="14">
        <f>-766576.65+766576</f>
        <v>-0.6500000000232831</v>
      </c>
      <c r="T86" s="4"/>
      <c r="U86" s="4"/>
      <c r="V86" s="4"/>
      <c r="W86" s="4"/>
      <c r="X86" s="4"/>
      <c r="Y86" s="4"/>
      <c r="Z86" s="1"/>
      <c r="AA86" s="1"/>
    </row>
    <row r="87" spans="1:27" ht="12.75">
      <c r="A87" s="38">
        <f t="shared" si="8"/>
        <v>73</v>
      </c>
      <c r="B87" s="11" t="s">
        <v>253</v>
      </c>
      <c r="C87" s="4">
        <f t="shared" si="9"/>
        <v>-36321.6</v>
      </c>
      <c r="D87" s="4">
        <f t="shared" si="10"/>
        <v>-36321.6</v>
      </c>
      <c r="E87" s="4"/>
      <c r="F87" s="4"/>
      <c r="G87" s="4">
        <f>ROUND(SUM(C87:F87)/2,0)</f>
        <v>-36322</v>
      </c>
      <c r="H87" s="4"/>
      <c r="I87" s="4">
        <f t="shared" si="5"/>
        <v>-49069.3</v>
      </c>
      <c r="J87" s="4">
        <f t="shared" si="5"/>
        <v>9496.9</v>
      </c>
      <c r="K87" s="4">
        <f t="shared" si="5"/>
        <v>3250.8</v>
      </c>
      <c r="L87" s="4"/>
      <c r="M87" s="14">
        <v>-49069.3</v>
      </c>
      <c r="N87" s="14">
        <v>9496.9</v>
      </c>
      <c r="O87" s="14">
        <v>3250.8</v>
      </c>
      <c r="P87" s="4"/>
      <c r="Q87" s="14">
        <v>-49069.3</v>
      </c>
      <c r="R87" s="14">
        <v>9496.9</v>
      </c>
      <c r="S87" s="14">
        <v>3250.8</v>
      </c>
      <c r="T87" s="4"/>
      <c r="U87" s="4"/>
      <c r="V87" s="4"/>
      <c r="W87" s="4"/>
      <c r="X87" s="4"/>
      <c r="Y87" s="4"/>
      <c r="Z87" s="1"/>
      <c r="AA87" s="1"/>
    </row>
    <row r="88" spans="1:27" ht="12.75">
      <c r="A88" s="38">
        <f t="shared" si="8"/>
        <v>74</v>
      </c>
      <c r="B88" s="11" t="s">
        <v>254</v>
      </c>
      <c r="C88" s="4">
        <f aca="true" t="shared" si="11" ref="C88:C95">SUM(M88:O88)</f>
        <v>0</v>
      </c>
      <c r="D88" s="4">
        <f t="shared" si="10"/>
        <v>0</v>
      </c>
      <c r="E88" s="4"/>
      <c r="F88" s="4"/>
      <c r="G88" s="4">
        <f aca="true" t="shared" si="12" ref="G88:G104">ROUND(SUM(C88:F88)/2,0)</f>
        <v>0</v>
      </c>
      <c r="H88" s="4"/>
      <c r="I88" s="4">
        <f t="shared" si="5"/>
        <v>0</v>
      </c>
      <c r="J88" s="4">
        <f t="shared" si="5"/>
        <v>0</v>
      </c>
      <c r="K88" s="4">
        <f t="shared" si="5"/>
        <v>0</v>
      </c>
      <c r="L88" s="4"/>
      <c r="M88" s="14">
        <v>0</v>
      </c>
      <c r="N88" s="14">
        <v>0</v>
      </c>
      <c r="O88" s="14">
        <v>0</v>
      </c>
      <c r="P88" s="4"/>
      <c r="Q88" s="14">
        <v>0</v>
      </c>
      <c r="R88" s="14">
        <v>0</v>
      </c>
      <c r="S88" s="14">
        <v>0</v>
      </c>
      <c r="T88" s="4"/>
      <c r="U88" s="4"/>
      <c r="V88" s="4"/>
      <c r="W88" s="4"/>
      <c r="X88" s="4"/>
      <c r="Y88" s="4"/>
      <c r="Z88" s="1"/>
      <c r="AA88" s="1"/>
    </row>
    <row r="89" spans="1:27" ht="12.75">
      <c r="A89" s="38">
        <f t="shared" si="8"/>
        <v>75</v>
      </c>
      <c r="B89" s="11" t="s">
        <v>255</v>
      </c>
      <c r="C89" s="4">
        <f t="shared" si="11"/>
        <v>0</v>
      </c>
      <c r="D89" s="4">
        <f t="shared" si="10"/>
        <v>0.1</v>
      </c>
      <c r="E89" s="4"/>
      <c r="F89" s="4"/>
      <c r="G89" s="4">
        <f t="shared" si="12"/>
        <v>0</v>
      </c>
      <c r="H89" s="4"/>
      <c r="I89" s="4">
        <f t="shared" si="5"/>
        <v>0</v>
      </c>
      <c r="J89" s="4">
        <f t="shared" si="5"/>
        <v>0</v>
      </c>
      <c r="K89" s="4">
        <f t="shared" si="5"/>
        <v>0.05</v>
      </c>
      <c r="L89" s="4"/>
      <c r="M89" s="14">
        <v>0</v>
      </c>
      <c r="N89" s="14">
        <v>0</v>
      </c>
      <c r="O89" s="14">
        <v>0</v>
      </c>
      <c r="P89" s="4"/>
      <c r="Q89" s="14">
        <v>0</v>
      </c>
      <c r="R89" s="14">
        <v>0</v>
      </c>
      <c r="S89" s="14">
        <v>0.1</v>
      </c>
      <c r="T89" s="4"/>
      <c r="U89" s="4"/>
      <c r="V89" s="4"/>
      <c r="W89" s="4"/>
      <c r="X89" s="4"/>
      <c r="Y89" s="4"/>
      <c r="Z89" s="1"/>
      <c r="AA89" s="1"/>
    </row>
    <row r="90" spans="1:27" ht="12.75">
      <c r="A90" s="38">
        <f t="shared" si="8"/>
        <v>76</v>
      </c>
      <c r="B90" s="11" t="s">
        <v>256</v>
      </c>
      <c r="C90" s="4">
        <f t="shared" si="11"/>
        <v>89807.5</v>
      </c>
      <c r="D90" s="4">
        <f aca="true" t="shared" si="13" ref="D90:D95">SUM(Q90:S90)</f>
        <v>89807.5</v>
      </c>
      <c r="E90" s="4"/>
      <c r="F90" s="4"/>
      <c r="G90" s="4">
        <f t="shared" si="12"/>
        <v>89808</v>
      </c>
      <c r="H90" s="4"/>
      <c r="I90" s="4">
        <f t="shared" si="5"/>
        <v>0</v>
      </c>
      <c r="J90" s="4">
        <f t="shared" si="5"/>
        <v>0</v>
      </c>
      <c r="K90" s="4">
        <f t="shared" si="5"/>
        <v>89807.5</v>
      </c>
      <c r="L90" s="4"/>
      <c r="M90" s="14">
        <v>0</v>
      </c>
      <c r="N90" s="14">
        <v>0</v>
      </c>
      <c r="O90" s="14">
        <v>89807.5</v>
      </c>
      <c r="P90" s="4"/>
      <c r="Q90" s="14">
        <v>0</v>
      </c>
      <c r="R90" s="14">
        <v>0</v>
      </c>
      <c r="S90" s="14">
        <v>89807.5</v>
      </c>
      <c r="T90" s="4"/>
      <c r="U90" s="4"/>
      <c r="V90" s="4"/>
      <c r="W90" s="4"/>
      <c r="X90" s="4"/>
      <c r="Y90" s="4"/>
      <c r="Z90" s="1"/>
      <c r="AA90" s="1"/>
    </row>
    <row r="91" spans="1:27" ht="12.75">
      <c r="A91" s="38">
        <f t="shared" si="8"/>
        <v>77</v>
      </c>
      <c r="B91" s="11" t="s">
        <v>257</v>
      </c>
      <c r="C91" s="4">
        <f t="shared" si="11"/>
        <v>1336186.8</v>
      </c>
      <c r="D91" s="4">
        <f t="shared" si="13"/>
        <v>1409947.2</v>
      </c>
      <c r="E91" s="4"/>
      <c r="F91" s="4"/>
      <c r="G91" s="4">
        <f t="shared" si="12"/>
        <v>1373067</v>
      </c>
      <c r="H91" s="4"/>
      <c r="I91" s="4">
        <f t="shared" si="5"/>
        <v>0</v>
      </c>
      <c r="J91" s="4">
        <f t="shared" si="5"/>
        <v>0</v>
      </c>
      <c r="K91" s="4">
        <f t="shared" si="5"/>
        <v>1373067</v>
      </c>
      <c r="L91" s="4"/>
      <c r="M91" s="14">
        <v>0</v>
      </c>
      <c r="N91" s="14">
        <v>0</v>
      </c>
      <c r="O91" s="14">
        <v>1336186.8</v>
      </c>
      <c r="P91" s="4"/>
      <c r="Q91" s="14">
        <v>0</v>
      </c>
      <c r="R91" s="14">
        <v>0</v>
      </c>
      <c r="S91" s="14">
        <v>1409947.2</v>
      </c>
      <c r="T91" s="4"/>
      <c r="U91" s="4"/>
      <c r="V91" s="4"/>
      <c r="W91" s="4"/>
      <c r="X91" s="4"/>
      <c r="Y91" s="4"/>
      <c r="Z91" s="1"/>
      <c r="AA91" s="1"/>
    </row>
    <row r="92" spans="1:27" ht="12.75">
      <c r="A92" s="38">
        <f t="shared" si="8"/>
        <v>78</v>
      </c>
      <c r="B92" s="11" t="s">
        <v>258</v>
      </c>
      <c r="C92" s="4">
        <f t="shared" si="11"/>
        <v>0</v>
      </c>
      <c r="D92" s="4">
        <f t="shared" si="13"/>
        <v>0</v>
      </c>
      <c r="E92" s="4"/>
      <c r="F92" s="4"/>
      <c r="G92" s="4">
        <f t="shared" si="12"/>
        <v>0</v>
      </c>
      <c r="H92" s="4"/>
      <c r="I92" s="4">
        <f t="shared" si="5"/>
        <v>0</v>
      </c>
      <c r="J92" s="4">
        <f t="shared" si="5"/>
        <v>0</v>
      </c>
      <c r="K92" s="4">
        <f t="shared" si="5"/>
        <v>0</v>
      </c>
      <c r="L92" s="4"/>
      <c r="M92" s="14">
        <v>0</v>
      </c>
      <c r="N92" s="14">
        <v>0</v>
      </c>
      <c r="O92" s="14">
        <v>0</v>
      </c>
      <c r="P92" s="4"/>
      <c r="Q92" s="14">
        <v>0</v>
      </c>
      <c r="R92" s="14">
        <v>0</v>
      </c>
      <c r="S92" s="14">
        <v>0</v>
      </c>
      <c r="T92" s="4"/>
      <c r="U92" s="4"/>
      <c r="V92" s="4"/>
      <c r="W92" s="4"/>
      <c r="X92" s="4"/>
      <c r="Y92" s="4"/>
      <c r="Z92" s="1"/>
      <c r="AA92" s="1"/>
    </row>
    <row r="93" spans="1:27" ht="12.75">
      <c r="A93" s="38">
        <f t="shared" si="8"/>
        <v>79</v>
      </c>
      <c r="B93" s="11" t="s">
        <v>259</v>
      </c>
      <c r="C93" s="4">
        <f t="shared" si="11"/>
        <v>2913180.2800000003</v>
      </c>
      <c r="D93" s="4">
        <f t="shared" si="13"/>
        <v>2945963.38</v>
      </c>
      <c r="E93" s="4"/>
      <c r="F93" s="4"/>
      <c r="G93" s="4">
        <f t="shared" si="12"/>
        <v>2929572</v>
      </c>
      <c r="H93" s="4"/>
      <c r="I93" s="4">
        <f t="shared" si="5"/>
        <v>1577568.3900000001</v>
      </c>
      <c r="J93" s="4">
        <f t="shared" si="5"/>
        <v>998466.875</v>
      </c>
      <c r="K93" s="4">
        <f t="shared" si="5"/>
        <v>353536.565</v>
      </c>
      <c r="L93" s="4"/>
      <c r="M93" s="14">
        <v>1442669.29</v>
      </c>
      <c r="N93" s="14">
        <v>1088964.1</v>
      </c>
      <c r="O93" s="14">
        <v>381546.89</v>
      </c>
      <c r="P93" s="4"/>
      <c r="Q93" s="14">
        <v>1712467.49</v>
      </c>
      <c r="R93" s="14">
        <v>907969.65</v>
      </c>
      <c r="S93" s="14">
        <v>325526.24</v>
      </c>
      <c r="T93" s="4"/>
      <c r="U93" s="4"/>
      <c r="V93" s="4"/>
      <c r="W93" s="4"/>
      <c r="X93" s="4"/>
      <c r="Y93" s="4"/>
      <c r="Z93" s="1"/>
      <c r="AA93" s="1"/>
    </row>
    <row r="94" spans="1:27" ht="12.75">
      <c r="A94" s="38">
        <f t="shared" si="8"/>
        <v>80</v>
      </c>
      <c r="B94" s="11" t="s">
        <v>260</v>
      </c>
      <c r="C94" s="4">
        <f t="shared" si="11"/>
        <v>3174757</v>
      </c>
      <c r="D94" s="4">
        <f t="shared" si="13"/>
        <v>26894757</v>
      </c>
      <c r="E94" s="4"/>
      <c r="F94" s="4"/>
      <c r="G94" s="4">
        <f t="shared" si="12"/>
        <v>15034757</v>
      </c>
      <c r="H94" s="4"/>
      <c r="I94" s="4">
        <f t="shared" si="5"/>
        <v>14716949</v>
      </c>
      <c r="J94" s="4">
        <f t="shared" si="5"/>
        <v>87795</v>
      </c>
      <c r="K94" s="4">
        <f t="shared" si="5"/>
        <v>230013</v>
      </c>
      <c r="L94" s="4"/>
      <c r="M94" s="14">
        <v>2856949</v>
      </c>
      <c r="N94" s="14">
        <v>87795</v>
      </c>
      <c r="O94" s="14">
        <v>230013</v>
      </c>
      <c r="P94" s="4"/>
      <c r="Q94" s="14">
        <v>26576949</v>
      </c>
      <c r="R94" s="14">
        <v>87795</v>
      </c>
      <c r="S94" s="14">
        <v>230013</v>
      </c>
      <c r="T94" s="4"/>
      <c r="U94" s="4"/>
      <c r="V94" s="4"/>
      <c r="W94" s="4"/>
      <c r="X94" s="4"/>
      <c r="Y94" s="4"/>
      <c r="Z94" s="1"/>
      <c r="AA94" s="1"/>
    </row>
    <row r="95" spans="1:27" ht="12.75">
      <c r="A95" s="38">
        <f t="shared" si="8"/>
        <v>81</v>
      </c>
      <c r="B95" s="13" t="s">
        <v>261</v>
      </c>
      <c r="C95" s="4">
        <f t="shared" si="11"/>
        <v>4450347.8</v>
      </c>
      <c r="D95" s="4">
        <f t="shared" si="13"/>
        <v>4450347.8</v>
      </c>
      <c r="E95" s="4"/>
      <c r="F95" s="4"/>
      <c r="G95" s="4">
        <f t="shared" si="12"/>
        <v>4450348</v>
      </c>
      <c r="H95" s="4"/>
      <c r="I95" s="4">
        <f t="shared" si="5"/>
        <v>0</v>
      </c>
      <c r="J95" s="4">
        <f t="shared" si="5"/>
        <v>0</v>
      </c>
      <c r="K95" s="4">
        <f t="shared" si="5"/>
        <v>4450347.8</v>
      </c>
      <c r="L95" s="4"/>
      <c r="M95" s="14">
        <v>0</v>
      </c>
      <c r="N95" s="14">
        <v>0</v>
      </c>
      <c r="O95" s="14">
        <v>4450347.8</v>
      </c>
      <c r="P95" s="4"/>
      <c r="Q95" s="14">
        <v>0</v>
      </c>
      <c r="R95" s="14">
        <v>0</v>
      </c>
      <c r="S95" s="14">
        <v>4450347.8</v>
      </c>
      <c r="T95" s="4"/>
      <c r="U95" s="4"/>
      <c r="V95" s="4"/>
      <c r="W95" s="4"/>
      <c r="X95" s="4"/>
      <c r="Y95" s="4"/>
      <c r="Z95" s="1"/>
      <c r="AA95" s="1"/>
    </row>
    <row r="96" spans="1:27" ht="12.75">
      <c r="A96" s="38">
        <f t="shared" si="8"/>
        <v>82</v>
      </c>
      <c r="B96" s="13" t="s">
        <v>16</v>
      </c>
      <c r="C96" s="9">
        <v>1465143.76</v>
      </c>
      <c r="D96" s="9">
        <v>3851810.56</v>
      </c>
      <c r="E96" s="4">
        <f aca="true" t="shared" si="14" ref="E96:F105">-C96</f>
        <v>-1465143.76</v>
      </c>
      <c r="F96" s="4">
        <f t="shared" si="14"/>
        <v>-3851810.56</v>
      </c>
      <c r="G96" s="4">
        <f t="shared" si="12"/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1"/>
      <c r="AA96" s="1"/>
    </row>
    <row r="97" spans="1:27" ht="12.75">
      <c r="A97" s="38">
        <f t="shared" si="8"/>
        <v>83</v>
      </c>
      <c r="B97" s="4" t="s">
        <v>262</v>
      </c>
      <c r="C97" s="9">
        <v>82638287.55</v>
      </c>
      <c r="D97" s="9">
        <v>67111038.44</v>
      </c>
      <c r="E97" s="4">
        <f t="shared" si="14"/>
        <v>-82638287.55</v>
      </c>
      <c r="F97" s="4">
        <f t="shared" si="14"/>
        <v>-67111038.44</v>
      </c>
      <c r="G97" s="4">
        <f t="shared" si="12"/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1"/>
      <c r="AA97" s="1"/>
    </row>
    <row r="98" spans="1:27" ht="12.75">
      <c r="A98" s="38">
        <f t="shared" si="8"/>
        <v>84</v>
      </c>
      <c r="B98" s="4" t="s">
        <v>263</v>
      </c>
      <c r="C98" s="9">
        <v>954115.62</v>
      </c>
      <c r="D98" s="9">
        <v>1016830.77</v>
      </c>
      <c r="E98" s="4">
        <f t="shared" si="14"/>
        <v>-954115.62</v>
      </c>
      <c r="F98" s="4">
        <f t="shared" si="14"/>
        <v>-1016830.77</v>
      </c>
      <c r="G98" s="4">
        <f t="shared" si="12"/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1"/>
      <c r="AA98" s="1"/>
    </row>
    <row r="99" spans="1:27" ht="12.75">
      <c r="A99" s="38">
        <f t="shared" si="8"/>
        <v>85</v>
      </c>
      <c r="B99" s="4" t="s">
        <v>264</v>
      </c>
      <c r="C99" s="9">
        <v>0</v>
      </c>
      <c r="D99" s="9">
        <v>0</v>
      </c>
      <c r="E99" s="4">
        <f t="shared" si="14"/>
        <v>0</v>
      </c>
      <c r="F99" s="4">
        <f t="shared" si="14"/>
        <v>0</v>
      </c>
      <c r="G99" s="4">
        <f t="shared" si="12"/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1"/>
      <c r="AA99" s="1"/>
    </row>
    <row r="100" spans="1:27" ht="12.75">
      <c r="A100" s="38">
        <f t="shared" si="8"/>
        <v>86</v>
      </c>
      <c r="B100" s="11" t="s">
        <v>265</v>
      </c>
      <c r="C100" s="9">
        <v>0</v>
      </c>
      <c r="D100" s="9">
        <v>0</v>
      </c>
      <c r="E100" s="4">
        <f t="shared" si="14"/>
        <v>0</v>
      </c>
      <c r="F100" s="4">
        <f t="shared" si="14"/>
        <v>0</v>
      </c>
      <c r="G100" s="4">
        <f t="shared" si="12"/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1"/>
      <c r="AA100" s="1"/>
    </row>
    <row r="101" spans="1:27" ht="12.75">
      <c r="A101" s="38">
        <f t="shared" si="8"/>
        <v>87</v>
      </c>
      <c r="B101" s="11" t="s">
        <v>266</v>
      </c>
      <c r="C101" s="9">
        <v>0</v>
      </c>
      <c r="D101" s="9">
        <v>0</v>
      </c>
      <c r="E101" s="4">
        <f t="shared" si="14"/>
        <v>0</v>
      </c>
      <c r="F101" s="4">
        <f t="shared" si="14"/>
        <v>0</v>
      </c>
      <c r="G101" s="4">
        <f>ROUND(SUM(C101:F101)/2,0)</f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1"/>
      <c r="AA101" s="1"/>
    </row>
    <row r="102" spans="1:27" ht="12.75">
      <c r="A102" s="38">
        <f t="shared" si="8"/>
        <v>88</v>
      </c>
      <c r="B102" s="11" t="s">
        <v>267</v>
      </c>
      <c r="C102" s="9">
        <v>-256198.47</v>
      </c>
      <c r="D102" s="9">
        <v>-7406027.31</v>
      </c>
      <c r="E102" s="4">
        <f t="shared" si="14"/>
        <v>256198.47</v>
      </c>
      <c r="F102" s="4">
        <f t="shared" si="14"/>
        <v>7406027.31</v>
      </c>
      <c r="G102" s="4">
        <f>ROUND(SUM(C102:F102)/2,0)</f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1"/>
      <c r="AA102" s="1"/>
    </row>
    <row r="103" spans="1:27" ht="12.75">
      <c r="A103" s="38">
        <f t="shared" si="8"/>
        <v>89</v>
      </c>
      <c r="B103" s="11" t="s">
        <v>268</v>
      </c>
      <c r="C103" s="9">
        <v>0</v>
      </c>
      <c r="D103" s="9">
        <v>0</v>
      </c>
      <c r="E103" s="4">
        <f t="shared" si="14"/>
        <v>0</v>
      </c>
      <c r="F103" s="4">
        <f t="shared" si="14"/>
        <v>0</v>
      </c>
      <c r="G103" s="4">
        <f>ROUND(SUM(C103:F103)/2,0)</f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1"/>
      <c r="AA103" s="1"/>
    </row>
    <row r="104" spans="1:27" ht="12.75">
      <c r="A104" s="38">
        <f t="shared" si="8"/>
        <v>90</v>
      </c>
      <c r="B104" s="11" t="s">
        <v>269</v>
      </c>
      <c r="C104" s="9">
        <v>1469916.26</v>
      </c>
      <c r="D104" s="9">
        <v>1849443.58</v>
      </c>
      <c r="E104" s="4">
        <f t="shared" si="14"/>
        <v>-1469916.26</v>
      </c>
      <c r="F104" s="4">
        <f t="shared" si="14"/>
        <v>-1849443.58</v>
      </c>
      <c r="G104" s="4">
        <f t="shared" si="12"/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1"/>
      <c r="AA104" s="1"/>
    </row>
    <row r="105" spans="1:27" ht="12.75">
      <c r="A105" s="38">
        <f t="shared" si="8"/>
        <v>91</v>
      </c>
      <c r="B105" s="11" t="s">
        <v>270</v>
      </c>
      <c r="C105" s="9">
        <v>68338.56</v>
      </c>
      <c r="D105" s="9">
        <v>72609.72</v>
      </c>
      <c r="E105" s="4">
        <f t="shared" si="14"/>
        <v>-68338.56</v>
      </c>
      <c r="F105" s="4">
        <f t="shared" si="14"/>
        <v>-72609.72</v>
      </c>
      <c r="G105" s="4">
        <f>ROUND(SUM(C105:F105)/2,0)</f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1"/>
      <c r="AA105" s="1"/>
    </row>
    <row r="106" spans="1:27" ht="12.75">
      <c r="A106" s="38">
        <f t="shared" si="8"/>
        <v>92</v>
      </c>
      <c r="B106" s="11" t="s">
        <v>271</v>
      </c>
      <c r="C106" s="9">
        <v>0</v>
      </c>
      <c r="D106" s="9">
        <v>0</v>
      </c>
      <c r="E106" s="4">
        <f>-C106</f>
        <v>0</v>
      </c>
      <c r="F106" s="4">
        <f>-D106</f>
        <v>0</v>
      </c>
      <c r="G106" s="4">
        <f>ROUND(SUM(C106:F106)/2,0)</f>
        <v>0</v>
      </c>
      <c r="H106" s="4"/>
      <c r="I106" s="4">
        <f aca="true" t="shared" si="15" ref="I106:K107">(M106+Q106)/2</f>
        <v>0</v>
      </c>
      <c r="J106" s="4">
        <f t="shared" si="15"/>
        <v>0</v>
      </c>
      <c r="K106" s="4">
        <f t="shared" si="15"/>
        <v>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1"/>
      <c r="AA106" s="1"/>
    </row>
    <row r="107" spans="1:27" ht="12.75">
      <c r="A107" s="38">
        <f t="shared" si="8"/>
        <v>93</v>
      </c>
      <c r="B107" s="11" t="s">
        <v>272</v>
      </c>
      <c r="C107" s="4">
        <f>SUM(M107:O107)</f>
        <v>1536960.24</v>
      </c>
      <c r="D107" s="4">
        <f>SUM(Q107:S107)</f>
        <v>15880252.01</v>
      </c>
      <c r="E107" s="4"/>
      <c r="F107" s="4"/>
      <c r="G107" s="4">
        <f>ROUND(SUM(C107:F107)/2,0)</f>
        <v>8708606</v>
      </c>
      <c r="H107" s="4"/>
      <c r="I107" s="4">
        <f t="shared" si="15"/>
        <v>8708606.125</v>
      </c>
      <c r="J107" s="4">
        <f t="shared" si="15"/>
        <v>0</v>
      </c>
      <c r="K107" s="4">
        <f t="shared" si="15"/>
        <v>0</v>
      </c>
      <c r="L107" s="4"/>
      <c r="M107" s="9">
        <v>1536960.24</v>
      </c>
      <c r="N107" s="9">
        <v>0</v>
      </c>
      <c r="O107" s="9">
        <v>0</v>
      </c>
      <c r="P107" s="4"/>
      <c r="Q107" s="9">
        <v>15880252.01</v>
      </c>
      <c r="R107" s="9">
        <v>0</v>
      </c>
      <c r="S107" s="9">
        <v>0</v>
      </c>
      <c r="T107" s="4"/>
      <c r="U107" s="4"/>
      <c r="V107" s="4"/>
      <c r="W107" s="4"/>
      <c r="X107" s="4"/>
      <c r="Y107" s="4"/>
      <c r="Z107" s="1"/>
      <c r="AA107" s="1"/>
    </row>
    <row r="108" spans="1:27" ht="12.75">
      <c r="A108" s="38">
        <f t="shared" si="8"/>
        <v>94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1"/>
      <c r="AA108" s="1"/>
    </row>
    <row r="109" spans="1:27" ht="12.75">
      <c r="A109" s="38">
        <f t="shared" si="8"/>
        <v>95</v>
      </c>
      <c r="B109" s="11" t="s">
        <v>273</v>
      </c>
      <c r="C109" s="6">
        <f>SUM(C17:C108)</f>
        <v>398585901.18999994</v>
      </c>
      <c r="D109" s="6">
        <f>SUM(D17:D108)</f>
        <v>429804221.19</v>
      </c>
      <c r="E109" s="6">
        <f>SUM(E17:E108)</f>
        <v>-86339603.28000002</v>
      </c>
      <c r="F109" s="6">
        <f>SUM(F17:F108)</f>
        <v>-66495705.75999999</v>
      </c>
      <c r="G109" s="6">
        <f>SUM(G17:G108)</f>
        <v>337777404</v>
      </c>
      <c r="H109" s="4"/>
      <c r="I109" s="6">
        <f>SUM(I17:I108)</f>
        <v>187652982.76000002</v>
      </c>
      <c r="J109" s="6">
        <f>SUM(J17:J108)</f>
        <v>53816639.28</v>
      </c>
      <c r="K109" s="6">
        <f>SUM(K17:K108)</f>
        <v>96307784.63000001</v>
      </c>
      <c r="L109" s="4"/>
      <c r="M109" s="6">
        <f>SUM(M17:M108)</f>
        <v>161293288.84999993</v>
      </c>
      <c r="N109" s="6">
        <f>SUM(N17:N108)</f>
        <v>55889586.940000005</v>
      </c>
      <c r="O109" s="6">
        <f>SUM(O17:O108)</f>
        <v>95063422.11999999</v>
      </c>
      <c r="P109" s="4"/>
      <c r="Q109" s="6">
        <f>SUM(Q17:Q108)</f>
        <v>214012676.67</v>
      </c>
      <c r="R109" s="6">
        <f>SUM(R17:R108)</f>
        <v>51743691.62</v>
      </c>
      <c r="S109" s="6">
        <f>SUM(S17:S108)</f>
        <v>97552147.13999997</v>
      </c>
      <c r="T109" s="4"/>
      <c r="U109" s="4"/>
      <c r="V109" s="4"/>
      <c r="W109" s="4"/>
      <c r="X109" s="4"/>
      <c r="Y109" s="4"/>
      <c r="Z109" s="1"/>
      <c r="AA109" s="1"/>
    </row>
  </sheetData>
  <sheetProtection/>
  <printOptions/>
  <pageMargins left="0.75" right="0.25" top="0.5" bottom="0.5" header="0.25" footer="0"/>
  <pageSetup horizontalDpi="600" verticalDpi="600" orientation="portrait" scale="70" r:id="rId3"/>
  <headerFooter alignWithMargins="0">
    <oddHeader>&amp;RSTATEMENT AG-3
PAGE &amp;P OF &amp;N</oddHeader>
  </headerFooter>
  <rowBreaks count="1" manualBreakCount="1">
    <brk id="59" max="18" man="1"/>
  </rowBreaks>
  <colBreaks count="3" manualBreakCount="3">
    <brk id="7" min="14" max="103" man="1"/>
    <brk id="11" min="14" max="103" man="1"/>
    <brk id="15" min="14" max="10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0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4" sqref="B24"/>
    </sheetView>
  </sheetViews>
  <sheetFormatPr defaultColWidth="12.7109375" defaultRowHeight="12.75"/>
  <cols>
    <col min="1" max="1" width="4.7109375" style="2" customWidth="1"/>
    <col min="2" max="2" width="54.7109375" style="1" customWidth="1"/>
    <col min="3" max="7" width="15.7109375" style="1" customWidth="1"/>
    <col min="8" max="8" width="2.7109375" style="1" customWidth="1"/>
    <col min="9" max="13" width="15.7109375" style="1" customWidth="1"/>
    <col min="14" max="14" width="2.7109375" style="1" customWidth="1"/>
    <col min="15" max="19" width="15.7109375" style="1" customWidth="1"/>
    <col min="20" max="20" width="2.7109375" style="1" customWidth="1"/>
    <col min="21" max="25" width="15.7109375" style="1" customWidth="1"/>
    <col min="26" max="16384" width="12.7109375" style="1" customWidth="1"/>
  </cols>
  <sheetData>
    <row r="1" spans="2:25" ht="12.75">
      <c r="B1" s="26" t="s">
        <v>274</v>
      </c>
      <c r="G1" s="40"/>
      <c r="H1" s="8"/>
      <c r="I1" s="8"/>
      <c r="J1" s="8"/>
      <c r="K1" s="8"/>
      <c r="L1" s="8"/>
      <c r="M1" s="40"/>
      <c r="N1" s="8"/>
      <c r="S1" s="40"/>
      <c r="Y1" s="40"/>
    </row>
    <row r="2" spans="2:25" ht="12.75">
      <c r="B2" s="26" t="s">
        <v>180</v>
      </c>
      <c r="G2" s="40"/>
      <c r="H2" s="8"/>
      <c r="I2" s="8"/>
      <c r="J2" s="8"/>
      <c r="K2" s="8"/>
      <c r="L2" s="8"/>
      <c r="M2" s="40"/>
      <c r="N2" s="8"/>
      <c r="S2" s="40"/>
      <c r="Y2" s="40"/>
    </row>
    <row r="3" ht="12.75">
      <c r="B3" s="26" t="s">
        <v>179</v>
      </c>
    </row>
    <row r="4" spans="7:25" ht="12.75">
      <c r="G4" s="25" t="s">
        <v>178</v>
      </c>
      <c r="H4" s="25"/>
      <c r="I4" s="25"/>
      <c r="J4" s="25"/>
      <c r="K4" s="25"/>
      <c r="L4" s="25"/>
      <c r="M4" s="41" t="s">
        <v>178</v>
      </c>
      <c r="N4" s="25"/>
      <c r="S4" s="41"/>
      <c r="Y4" s="41"/>
    </row>
    <row r="5" ht="12.75">
      <c r="B5" s="2"/>
    </row>
    <row r="6" ht="12.75"/>
    <row r="7" ht="12.75"/>
    <row r="8" spans="2:25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 t="s">
        <v>168</v>
      </c>
      <c r="M8" s="18" t="s">
        <v>167</v>
      </c>
      <c r="N8" s="18"/>
      <c r="O8" s="18" t="s">
        <v>166</v>
      </c>
      <c r="P8" s="18" t="s">
        <v>165</v>
      </c>
      <c r="Q8" s="18" t="s">
        <v>164</v>
      </c>
      <c r="R8" s="18" t="s">
        <v>163</v>
      </c>
      <c r="S8" s="18" t="s">
        <v>275</v>
      </c>
      <c r="U8" s="18" t="s">
        <v>276</v>
      </c>
      <c r="V8" s="18" t="s">
        <v>277</v>
      </c>
      <c r="W8" s="18" t="s">
        <v>278</v>
      </c>
      <c r="X8" s="18" t="s">
        <v>279</v>
      </c>
      <c r="Y8" s="18" t="s">
        <v>280</v>
      </c>
    </row>
    <row r="9" ht="12.75"/>
    <row r="10" spans="3:25" ht="12.75">
      <c r="C10" s="21" t="s">
        <v>162</v>
      </c>
      <c r="D10" s="21"/>
      <c r="E10" s="23" t="s">
        <v>161</v>
      </c>
      <c r="F10" s="21"/>
      <c r="G10" s="19" t="s">
        <v>160</v>
      </c>
      <c r="H10" s="19"/>
      <c r="I10" s="22" t="s">
        <v>159</v>
      </c>
      <c r="J10" s="21"/>
      <c r="K10" s="21"/>
      <c r="L10" s="21"/>
      <c r="M10" s="21"/>
      <c r="N10" s="19"/>
      <c r="O10" s="22" t="s">
        <v>158</v>
      </c>
      <c r="P10" s="21"/>
      <c r="Q10" s="21"/>
      <c r="R10" s="21"/>
      <c r="S10" s="21"/>
      <c r="U10" s="22" t="s">
        <v>157</v>
      </c>
      <c r="V10" s="21"/>
      <c r="W10" s="21"/>
      <c r="X10" s="21"/>
      <c r="Y10" s="21"/>
    </row>
    <row r="11" spans="3:25" ht="12.75">
      <c r="C11" s="20"/>
      <c r="D11" s="20"/>
      <c r="G11" s="19" t="s">
        <v>156</v>
      </c>
      <c r="H11" s="19"/>
      <c r="I11" s="20"/>
      <c r="J11" s="20"/>
      <c r="K11" s="20"/>
      <c r="L11" s="20"/>
      <c r="M11" s="20"/>
      <c r="N11" s="19"/>
      <c r="O11" s="20"/>
      <c r="P11" s="20"/>
      <c r="Q11" s="20"/>
      <c r="R11" s="20"/>
      <c r="S11" s="20"/>
      <c r="U11" s="20"/>
      <c r="V11" s="20"/>
      <c r="W11" s="20"/>
      <c r="X11" s="20"/>
      <c r="Y11" s="20"/>
    </row>
    <row r="12" spans="3:14" ht="12.75">
      <c r="C12" s="19" t="s">
        <v>155</v>
      </c>
      <c r="D12" s="19" t="s">
        <v>155</v>
      </c>
      <c r="E12" s="19" t="s">
        <v>155</v>
      </c>
      <c r="F12" s="19" t="s">
        <v>155</v>
      </c>
      <c r="G12" s="19" t="s">
        <v>154</v>
      </c>
      <c r="H12" s="19"/>
      <c r="N12" s="19"/>
    </row>
    <row r="13" spans="2:25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D13</f>
        <v>OF 12-31-14</v>
      </c>
      <c r="G13" s="18" t="s">
        <v>150</v>
      </c>
      <c r="H13" s="18"/>
      <c r="I13" s="18" t="s">
        <v>149</v>
      </c>
      <c r="J13" s="18" t="s">
        <v>281</v>
      </c>
      <c r="K13" s="18" t="s">
        <v>148</v>
      </c>
      <c r="L13" s="18" t="s">
        <v>147</v>
      </c>
      <c r="M13" s="18" t="s">
        <v>282</v>
      </c>
      <c r="N13" s="18"/>
      <c r="O13" s="18" t="s">
        <v>149</v>
      </c>
      <c r="P13" s="18" t="s">
        <v>281</v>
      </c>
      <c r="Q13" s="18" t="s">
        <v>148</v>
      </c>
      <c r="R13" s="18" t="s">
        <v>147</v>
      </c>
      <c r="S13" s="18" t="s">
        <v>282</v>
      </c>
      <c r="U13" s="18" t="s">
        <v>149</v>
      </c>
      <c r="V13" s="18" t="s">
        <v>281</v>
      </c>
      <c r="W13" s="18" t="s">
        <v>148</v>
      </c>
      <c r="X13" s="18" t="s">
        <v>147</v>
      </c>
      <c r="Y13" s="18" t="s">
        <v>282</v>
      </c>
    </row>
    <row r="14" ht="12.75"/>
    <row r="15" spans="1:25" ht="12.75">
      <c r="A15" s="5">
        <v>1</v>
      </c>
      <c r="B15" s="7" t="s">
        <v>146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5">
        <f aca="true" t="shared" si="0" ref="A16:A79">A15+1</f>
        <v>2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5">
        <f t="shared" si="0"/>
        <v>3</v>
      </c>
      <c r="B17" s="7" t="s">
        <v>145</v>
      </c>
      <c r="C17" s="4">
        <f>SUM(O17:S17)</f>
        <v>160225.1</v>
      </c>
      <c r="D17" s="4">
        <f>SUM(U17:Y17)</f>
        <v>188449.8</v>
      </c>
      <c r="E17" s="4"/>
      <c r="F17" s="4"/>
      <c r="G17" s="4">
        <f>ROUND(SUM(C17:F17)/2,0)</f>
        <v>174337</v>
      </c>
      <c r="H17" s="4"/>
      <c r="I17" s="4">
        <f>(O17+U17)/2</f>
        <v>174337.45</v>
      </c>
      <c r="J17" s="4">
        <f>(P17+V17)/2</f>
        <v>0</v>
      </c>
      <c r="K17" s="4">
        <f>(Q17+W17)/2</f>
        <v>0</v>
      </c>
      <c r="L17" s="4">
        <f>(R17+X17)/2</f>
        <v>0</v>
      </c>
      <c r="M17" s="4">
        <f>(S17+Y17)/2</f>
        <v>0</v>
      </c>
      <c r="N17" s="4"/>
      <c r="O17" s="9">
        <v>160225.1</v>
      </c>
      <c r="P17" s="9">
        <v>0</v>
      </c>
      <c r="Q17" s="9">
        <v>0</v>
      </c>
      <c r="R17" s="9">
        <v>0</v>
      </c>
      <c r="S17" s="9">
        <v>0</v>
      </c>
      <c r="T17" s="4"/>
      <c r="U17" s="9">
        <v>188449.8</v>
      </c>
      <c r="V17" s="9">
        <v>0</v>
      </c>
      <c r="W17" s="9">
        <v>0</v>
      </c>
      <c r="X17" s="9">
        <v>0</v>
      </c>
      <c r="Y17" s="9">
        <v>0</v>
      </c>
    </row>
    <row r="18" spans="1:25" ht="12.75">
      <c r="A18" s="5">
        <f t="shared" si="0"/>
        <v>4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>
      <c r="A19" s="5">
        <f t="shared" si="0"/>
        <v>5</v>
      </c>
      <c r="B19" s="8" t="s">
        <v>16</v>
      </c>
      <c r="C19" s="4">
        <v>0</v>
      </c>
      <c r="D19" s="4">
        <v>0</v>
      </c>
      <c r="E19" s="4">
        <f aca="true" t="shared" si="1" ref="E19:F21">-C19</f>
        <v>0</v>
      </c>
      <c r="F19" s="4">
        <f t="shared" si="1"/>
        <v>0</v>
      </c>
      <c r="G19" s="4">
        <f>ROUND(SUM(C19:F19)/2,0)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5">
        <f t="shared" si="0"/>
        <v>6</v>
      </c>
      <c r="B20" s="8" t="s">
        <v>144</v>
      </c>
      <c r="C20" s="4">
        <v>0</v>
      </c>
      <c r="D20" s="4">
        <v>0</v>
      </c>
      <c r="E20" s="4">
        <f t="shared" si="1"/>
        <v>0</v>
      </c>
      <c r="F20" s="4">
        <f t="shared" si="1"/>
        <v>0</v>
      </c>
      <c r="G20" s="4">
        <f>ROUND(SUM(C20:F20)/2,0)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5">
        <f t="shared" si="0"/>
        <v>7</v>
      </c>
      <c r="B21" s="8" t="s">
        <v>143</v>
      </c>
      <c r="C21" s="4">
        <v>0</v>
      </c>
      <c r="D21" s="4">
        <v>0</v>
      </c>
      <c r="E21" s="4">
        <f t="shared" si="1"/>
        <v>0</v>
      </c>
      <c r="F21" s="4">
        <f t="shared" si="1"/>
        <v>0</v>
      </c>
      <c r="G21" s="4">
        <f>ROUND(SUM(C21:F21)/2,0)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5">
        <f t="shared" si="0"/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3.5" thickBot="1">
      <c r="A23" s="5">
        <f t="shared" si="0"/>
        <v>9</v>
      </c>
      <c r="B23" s="7" t="s">
        <v>142</v>
      </c>
      <c r="C23" s="6">
        <f aca="true" t="shared" si="2" ref="C23:O23">SUM(C17:C22)</f>
        <v>160225.1</v>
      </c>
      <c r="D23" s="6">
        <f t="shared" si="2"/>
        <v>188449.8</v>
      </c>
      <c r="E23" s="6">
        <f t="shared" si="2"/>
        <v>0</v>
      </c>
      <c r="F23" s="6">
        <f t="shared" si="2"/>
        <v>0</v>
      </c>
      <c r="G23" s="6">
        <f t="shared" si="2"/>
        <v>174337</v>
      </c>
      <c r="H23" s="4"/>
      <c r="I23" s="6">
        <f>SUM(I17:I22)</f>
        <v>174337.45</v>
      </c>
      <c r="J23" s="6">
        <f>SUM(J17:J22)</f>
        <v>0</v>
      </c>
      <c r="K23" s="6">
        <f>SUM(K17:K22)</f>
        <v>0</v>
      </c>
      <c r="L23" s="6">
        <f>SUM(L17:L22)</f>
        <v>0</v>
      </c>
      <c r="M23" s="6">
        <f>SUM(M17:M22)</f>
        <v>0</v>
      </c>
      <c r="N23" s="4"/>
      <c r="O23" s="6">
        <f t="shared" si="2"/>
        <v>160225.1</v>
      </c>
      <c r="P23" s="6">
        <f>SUM(P17:P22)</f>
        <v>0</v>
      </c>
      <c r="Q23" s="6">
        <f>SUM(Q17:Q22)</f>
        <v>0</v>
      </c>
      <c r="R23" s="6">
        <f>SUM(R17:R22)</f>
        <v>0</v>
      </c>
      <c r="S23" s="6">
        <f>SUM(S17:S22)</f>
        <v>0</v>
      </c>
      <c r="T23" s="4"/>
      <c r="U23" s="6">
        <f>SUM(U17:U22)</f>
        <v>188449.8</v>
      </c>
      <c r="V23" s="6">
        <f>SUM(V17:V22)</f>
        <v>0</v>
      </c>
      <c r="W23" s="6">
        <f>SUM(W17:W22)</f>
        <v>0</v>
      </c>
      <c r="X23" s="6">
        <f>SUM(X17:X22)</f>
        <v>0</v>
      </c>
      <c r="Y23" s="6">
        <f>SUM(Y17:Y22)</f>
        <v>0</v>
      </c>
    </row>
    <row r="24" spans="1:25" ht="13.5" thickTop="1">
      <c r="A24" s="5">
        <f t="shared" si="0"/>
        <v>10</v>
      </c>
      <c r="C24" s="3"/>
      <c r="D24" s="3"/>
      <c r="E24" s="3"/>
      <c r="F24" s="3"/>
      <c r="G24" s="3"/>
      <c r="H24" s="4"/>
      <c r="I24" s="3"/>
      <c r="J24" s="3"/>
      <c r="K24" s="3"/>
      <c r="L24" s="3"/>
      <c r="M24" s="3"/>
      <c r="N24" s="4"/>
      <c r="O24" s="3"/>
      <c r="P24" s="3"/>
      <c r="Q24" s="3"/>
      <c r="R24" s="3"/>
      <c r="S24" s="3"/>
      <c r="T24" s="4"/>
      <c r="U24" s="3"/>
      <c r="V24" s="3"/>
      <c r="W24" s="3"/>
      <c r="X24" s="3"/>
      <c r="Y24" s="3"/>
    </row>
    <row r="25" spans="1:25" ht="12.75">
      <c r="A25" s="5">
        <f t="shared" si="0"/>
        <v>11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0" ht="12.75">
      <c r="A26" s="5">
        <f t="shared" si="0"/>
        <v>12</v>
      </c>
      <c r="B26" s="8" t="s">
        <v>141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5" ht="12.75">
      <c r="A27" s="5">
        <f t="shared" si="0"/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5">
        <f t="shared" si="0"/>
        <v>14</v>
      </c>
      <c r="B28" s="8" t="s">
        <v>283</v>
      </c>
      <c r="C28" s="4">
        <f aca="true" t="shared" si="3" ref="C28:C79">SUM(O28:S28)</f>
        <v>741407</v>
      </c>
      <c r="D28" s="4">
        <f aca="true" t="shared" si="4" ref="D28:D79">SUM(U28:Y28)</f>
        <v>741407</v>
      </c>
      <c r="E28" s="4"/>
      <c r="F28" s="4"/>
      <c r="G28" s="4">
        <f aca="true" t="shared" si="5" ref="G28:G52">ROUND(SUM(C28:F28)/2,0)</f>
        <v>741407</v>
      </c>
      <c r="H28" s="4"/>
      <c r="I28" s="4">
        <f>(O28+U28)/2</f>
        <v>0</v>
      </c>
      <c r="J28" s="4">
        <f aca="true" t="shared" si="6" ref="J28:M79">(P28+V28)/2</f>
        <v>741407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/>
      <c r="O28" s="14">
        <v>0</v>
      </c>
      <c r="P28" s="14">
        <v>741407</v>
      </c>
      <c r="Q28" s="14">
        <v>0</v>
      </c>
      <c r="R28" s="14">
        <v>0</v>
      </c>
      <c r="S28" s="14">
        <v>0</v>
      </c>
      <c r="T28" s="4"/>
      <c r="U28" s="14">
        <v>0</v>
      </c>
      <c r="V28" s="14">
        <v>741407</v>
      </c>
      <c r="W28" s="14">
        <v>0</v>
      </c>
      <c r="X28" s="14">
        <v>0</v>
      </c>
      <c r="Y28" s="14">
        <v>0</v>
      </c>
    </row>
    <row r="29" spans="1:25" ht="12.75">
      <c r="A29" s="5">
        <f t="shared" si="0"/>
        <v>15</v>
      </c>
      <c r="B29" s="8" t="s">
        <v>284</v>
      </c>
      <c r="C29" s="4">
        <f t="shared" si="3"/>
        <v>0</v>
      </c>
      <c r="D29" s="4">
        <f t="shared" si="4"/>
        <v>0</v>
      </c>
      <c r="E29" s="4"/>
      <c r="F29" s="4"/>
      <c r="G29" s="4">
        <f t="shared" si="5"/>
        <v>0</v>
      </c>
      <c r="H29" s="4"/>
      <c r="I29" s="4">
        <f aca="true" t="shared" si="7" ref="I29:I79">(O29+U29)/2</f>
        <v>0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/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4"/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ht="12.75">
      <c r="A30" s="5">
        <f t="shared" si="0"/>
        <v>16</v>
      </c>
      <c r="B30" s="8" t="s">
        <v>285</v>
      </c>
      <c r="C30" s="4">
        <f t="shared" si="3"/>
        <v>-1371542</v>
      </c>
      <c r="D30" s="4">
        <f t="shared" si="4"/>
        <v>-1371542</v>
      </c>
      <c r="E30" s="4"/>
      <c r="F30" s="4"/>
      <c r="G30" s="4">
        <f t="shared" si="5"/>
        <v>-1371542</v>
      </c>
      <c r="H30" s="4"/>
      <c r="I30" s="4">
        <f t="shared" si="7"/>
        <v>-23541</v>
      </c>
      <c r="J30" s="4">
        <f t="shared" si="6"/>
        <v>-248</v>
      </c>
      <c r="K30" s="4">
        <f t="shared" si="6"/>
        <v>-716765</v>
      </c>
      <c r="L30" s="4">
        <f t="shared" si="6"/>
        <v>-630988</v>
      </c>
      <c r="M30" s="4">
        <f t="shared" si="6"/>
        <v>0</v>
      </c>
      <c r="N30" s="4"/>
      <c r="O30" s="14">
        <v>-23541</v>
      </c>
      <c r="P30" s="14">
        <v>-248</v>
      </c>
      <c r="Q30" s="14">
        <v>-716765</v>
      </c>
      <c r="R30" s="14">
        <v>-630988</v>
      </c>
      <c r="S30" s="14">
        <v>0</v>
      </c>
      <c r="T30" s="4"/>
      <c r="U30" s="14">
        <v>-23541</v>
      </c>
      <c r="V30" s="14">
        <v>-248</v>
      </c>
      <c r="W30" s="14">
        <v>-716765</v>
      </c>
      <c r="X30" s="14">
        <v>-630988</v>
      </c>
      <c r="Y30" s="14">
        <v>0</v>
      </c>
    </row>
    <row r="31" spans="1:25" ht="12.75">
      <c r="A31" s="5">
        <f t="shared" si="0"/>
        <v>17</v>
      </c>
      <c r="B31" s="7" t="s">
        <v>140</v>
      </c>
      <c r="C31" s="4">
        <f t="shared" si="3"/>
        <v>761230403.72</v>
      </c>
      <c r="D31" s="4">
        <f t="shared" si="4"/>
        <v>669401278.02</v>
      </c>
      <c r="E31" s="4"/>
      <c r="F31" s="4"/>
      <c r="G31" s="4">
        <f t="shared" si="5"/>
        <v>715315841</v>
      </c>
      <c r="H31" s="4"/>
      <c r="I31" s="4">
        <f t="shared" si="7"/>
        <v>79420612.525</v>
      </c>
      <c r="J31" s="4">
        <f t="shared" si="6"/>
        <v>259413276.22499996</v>
      </c>
      <c r="K31" s="4">
        <f t="shared" si="6"/>
        <v>169641206.175</v>
      </c>
      <c r="L31" s="4">
        <f t="shared" si="6"/>
        <v>206840745.94500002</v>
      </c>
      <c r="M31" s="4">
        <f t="shared" si="6"/>
        <v>0</v>
      </c>
      <c r="N31" s="4"/>
      <c r="O31" s="14">
        <v>85330526.7</v>
      </c>
      <c r="P31" s="14">
        <v>280972214.2</v>
      </c>
      <c r="Q31" s="14">
        <v>177265553.1</v>
      </c>
      <c r="R31" s="14">
        <v>217662109.72000003</v>
      </c>
      <c r="S31" s="14">
        <v>0</v>
      </c>
      <c r="T31" s="4"/>
      <c r="U31" s="14">
        <v>73510698.35000001</v>
      </c>
      <c r="V31" s="14">
        <v>237854338.24999997</v>
      </c>
      <c r="W31" s="14">
        <v>162016859.25</v>
      </c>
      <c r="X31" s="14">
        <v>196019382.17000002</v>
      </c>
      <c r="Y31" s="14">
        <v>0</v>
      </c>
    </row>
    <row r="32" spans="1:25" ht="12.75">
      <c r="A32" s="5">
        <f t="shared" si="0"/>
        <v>18</v>
      </c>
      <c r="B32" s="7" t="s">
        <v>135</v>
      </c>
      <c r="C32" s="4">
        <f>SUM(O32:S32)</f>
        <v>41696409.300000004</v>
      </c>
      <c r="D32" s="4">
        <f>SUM(U32:Y32)</f>
        <v>35782215</v>
      </c>
      <c r="E32" s="4"/>
      <c r="F32" s="4"/>
      <c r="G32" s="4">
        <f>ROUND(SUM(C32:F32)/2,0)</f>
        <v>38739312</v>
      </c>
      <c r="H32" s="4"/>
      <c r="I32" s="4">
        <f t="shared" si="7"/>
        <v>3341075.325</v>
      </c>
      <c r="J32" s="4">
        <f t="shared" si="6"/>
        <v>34988628.325</v>
      </c>
      <c r="K32" s="4">
        <f t="shared" si="6"/>
        <v>25035.5</v>
      </c>
      <c r="L32" s="4">
        <f t="shared" si="6"/>
        <v>384573</v>
      </c>
      <c r="M32" s="4">
        <f t="shared" si="6"/>
        <v>0</v>
      </c>
      <c r="N32" s="4"/>
      <c r="O32" s="14">
        <v>3340979.6</v>
      </c>
      <c r="P32" s="14">
        <v>37945821.2</v>
      </c>
      <c r="Q32" s="14">
        <v>25035.5</v>
      </c>
      <c r="R32" s="14">
        <v>384573</v>
      </c>
      <c r="S32" s="14">
        <v>0</v>
      </c>
      <c r="T32" s="4"/>
      <c r="U32" s="14">
        <v>3341171.05</v>
      </c>
      <c r="V32" s="14">
        <v>32031435.45</v>
      </c>
      <c r="W32" s="14">
        <v>25035.5</v>
      </c>
      <c r="X32" s="14">
        <v>384573</v>
      </c>
      <c r="Y32" s="14">
        <v>0</v>
      </c>
    </row>
    <row r="33" spans="1:25" ht="12.75">
      <c r="A33" s="5">
        <f t="shared" si="0"/>
        <v>19</v>
      </c>
      <c r="B33" s="7" t="s">
        <v>138</v>
      </c>
      <c r="C33" s="4">
        <f>SUM(O33:S33)</f>
        <v>97291.25</v>
      </c>
      <c r="D33" s="4">
        <f>SUM(U33:Y33)</f>
        <v>140307.65000000002</v>
      </c>
      <c r="E33" s="4"/>
      <c r="F33" s="4"/>
      <c r="G33" s="4">
        <f>ROUND(SUM(C33:F33)/2,0)</f>
        <v>118799</v>
      </c>
      <c r="H33" s="4"/>
      <c r="I33" s="4">
        <f t="shared" si="7"/>
        <v>7397.25</v>
      </c>
      <c r="J33" s="4">
        <f t="shared" si="6"/>
        <v>92801.625</v>
      </c>
      <c r="K33" s="4">
        <f t="shared" si="6"/>
        <v>5721.275</v>
      </c>
      <c r="L33" s="4">
        <f t="shared" si="6"/>
        <v>12879.3</v>
      </c>
      <c r="M33" s="4">
        <f t="shared" si="6"/>
        <v>0</v>
      </c>
      <c r="N33" s="4"/>
      <c r="O33" s="14">
        <v>6058.15</v>
      </c>
      <c r="P33" s="14">
        <v>76000.05</v>
      </c>
      <c r="Q33" s="14">
        <v>4685.45</v>
      </c>
      <c r="R33" s="14">
        <v>10547.6</v>
      </c>
      <c r="S33" s="14">
        <v>0</v>
      </c>
      <c r="T33" s="4"/>
      <c r="U33" s="14">
        <v>8736.35</v>
      </c>
      <c r="V33" s="14">
        <v>109603.2</v>
      </c>
      <c r="W33" s="14">
        <v>6757.1</v>
      </c>
      <c r="X33" s="14">
        <v>15211</v>
      </c>
      <c r="Y33" s="14">
        <v>0</v>
      </c>
    </row>
    <row r="34" spans="1:25" ht="12.75">
      <c r="A34" s="5">
        <f t="shared" si="0"/>
        <v>20</v>
      </c>
      <c r="B34" s="7" t="s">
        <v>137</v>
      </c>
      <c r="C34" s="4">
        <f>SUM(O34:S34)</f>
        <v>349668.9</v>
      </c>
      <c r="D34" s="4">
        <f>SUM(U34:Y34)</f>
        <v>443290.4</v>
      </c>
      <c r="E34" s="4"/>
      <c r="F34" s="4"/>
      <c r="G34" s="4">
        <f>ROUND(SUM(C34:F34)/2,0)</f>
        <v>396480</v>
      </c>
      <c r="H34" s="4"/>
      <c r="I34" s="4">
        <f t="shared" si="7"/>
        <v>0</v>
      </c>
      <c r="J34" s="4">
        <f t="shared" si="6"/>
        <v>0</v>
      </c>
      <c r="K34" s="4">
        <f t="shared" si="6"/>
        <v>0</v>
      </c>
      <c r="L34" s="4">
        <f t="shared" si="6"/>
        <v>396479.65</v>
      </c>
      <c r="M34" s="4">
        <f t="shared" si="6"/>
        <v>0</v>
      </c>
      <c r="N34" s="4"/>
      <c r="O34" s="14">
        <v>0</v>
      </c>
      <c r="P34" s="14">
        <v>0</v>
      </c>
      <c r="Q34" s="14">
        <v>0</v>
      </c>
      <c r="R34" s="14">
        <v>349668.9</v>
      </c>
      <c r="S34" s="14">
        <v>0</v>
      </c>
      <c r="T34" s="4"/>
      <c r="U34" s="14">
        <v>0</v>
      </c>
      <c r="V34" s="14">
        <v>0</v>
      </c>
      <c r="W34" s="14">
        <v>0</v>
      </c>
      <c r="X34" s="14">
        <v>443290.4</v>
      </c>
      <c r="Y34" s="14">
        <v>0</v>
      </c>
    </row>
    <row r="35" spans="1:25" ht="12.75">
      <c r="A35" s="5">
        <f t="shared" si="0"/>
        <v>21</v>
      </c>
      <c r="B35" s="7" t="s">
        <v>136</v>
      </c>
      <c r="C35" s="4">
        <f>SUM(O35:S35)</f>
        <v>222571.44</v>
      </c>
      <c r="D35" s="4">
        <f>SUM(U35:Y35)</f>
        <v>274419.99</v>
      </c>
      <c r="E35" s="4"/>
      <c r="F35" s="4"/>
      <c r="G35" s="4">
        <f>ROUND(SUM(C35:F35)/2,0)</f>
        <v>248496</v>
      </c>
      <c r="H35" s="4"/>
      <c r="I35" s="4">
        <f t="shared" si="7"/>
        <v>0</v>
      </c>
      <c r="J35" s="4">
        <f t="shared" si="6"/>
        <v>165864.125</v>
      </c>
      <c r="K35" s="4">
        <f t="shared" si="6"/>
        <v>82631.59</v>
      </c>
      <c r="L35" s="4">
        <f t="shared" si="6"/>
        <v>0</v>
      </c>
      <c r="M35" s="4">
        <f t="shared" si="6"/>
        <v>0</v>
      </c>
      <c r="N35" s="4"/>
      <c r="O35" s="14">
        <v>0</v>
      </c>
      <c r="P35" s="14">
        <v>157965.85</v>
      </c>
      <c r="Q35" s="14">
        <v>64605.59</v>
      </c>
      <c r="R35" s="14">
        <v>0</v>
      </c>
      <c r="S35" s="14">
        <v>0</v>
      </c>
      <c r="T35" s="4"/>
      <c r="U35" s="14">
        <v>0</v>
      </c>
      <c r="V35" s="14">
        <v>173762.4</v>
      </c>
      <c r="W35" s="14">
        <v>100657.59</v>
      </c>
      <c r="X35" s="14">
        <v>0</v>
      </c>
      <c r="Y35" s="14">
        <v>0</v>
      </c>
    </row>
    <row r="36" spans="1:25" ht="12.75">
      <c r="A36" s="5">
        <f t="shared" si="0"/>
        <v>22</v>
      </c>
      <c r="B36" s="7" t="s">
        <v>134</v>
      </c>
      <c r="C36" s="4">
        <f t="shared" si="3"/>
        <v>30013584.699999996</v>
      </c>
      <c r="D36" s="4">
        <f t="shared" si="4"/>
        <v>84131261.58</v>
      </c>
      <c r="E36" s="4"/>
      <c r="F36" s="4"/>
      <c r="G36" s="4">
        <f t="shared" si="5"/>
        <v>57072423</v>
      </c>
      <c r="H36" s="4"/>
      <c r="I36" s="4">
        <f t="shared" si="7"/>
        <v>22339224.905</v>
      </c>
      <c r="J36" s="4">
        <f t="shared" si="6"/>
        <v>34624609.76</v>
      </c>
      <c r="K36" s="4">
        <f t="shared" si="6"/>
        <v>-2823.21</v>
      </c>
      <c r="L36" s="4">
        <f t="shared" si="6"/>
        <v>111411.685</v>
      </c>
      <c r="M36" s="4">
        <f t="shared" si="6"/>
        <v>0</v>
      </c>
      <c r="N36" s="4"/>
      <c r="O36" s="14">
        <v>23432191.58</v>
      </c>
      <c r="P36" s="14">
        <v>6470481.09</v>
      </c>
      <c r="Q36" s="14">
        <v>-2823.21</v>
      </c>
      <c r="R36" s="14">
        <v>113735.24</v>
      </c>
      <c r="S36" s="14">
        <v>0</v>
      </c>
      <c r="T36" s="4"/>
      <c r="U36" s="14">
        <v>21246258.23</v>
      </c>
      <c r="V36" s="14">
        <v>62778738.43</v>
      </c>
      <c r="W36" s="14">
        <v>-2823.21</v>
      </c>
      <c r="X36" s="14">
        <v>109088.13</v>
      </c>
      <c r="Y36" s="14">
        <v>0</v>
      </c>
    </row>
    <row r="37" spans="1:25" ht="12.75">
      <c r="A37" s="5">
        <f t="shared" si="0"/>
        <v>23</v>
      </c>
      <c r="B37" s="7" t="s">
        <v>131</v>
      </c>
      <c r="C37" s="4">
        <f t="shared" si="3"/>
        <v>58354361.64999999</v>
      </c>
      <c r="D37" s="4">
        <f t="shared" si="4"/>
        <v>55518606.349999994</v>
      </c>
      <c r="E37" s="4"/>
      <c r="F37" s="4"/>
      <c r="G37" s="4">
        <f t="shared" si="5"/>
        <v>56936484</v>
      </c>
      <c r="H37" s="4"/>
      <c r="I37" s="4">
        <f t="shared" si="7"/>
        <v>7103974.375</v>
      </c>
      <c r="J37" s="4">
        <f t="shared" si="6"/>
        <v>20803394.6</v>
      </c>
      <c r="K37" s="4">
        <f t="shared" si="6"/>
        <v>5906321.550000001</v>
      </c>
      <c r="L37" s="4">
        <f t="shared" si="6"/>
        <v>23122793.474999998</v>
      </c>
      <c r="M37" s="4">
        <f t="shared" si="6"/>
        <v>0</v>
      </c>
      <c r="N37" s="4"/>
      <c r="O37" s="14">
        <v>7205480.6</v>
      </c>
      <c r="P37" s="14">
        <v>21276642.7</v>
      </c>
      <c r="Q37" s="14">
        <v>6014109.050000001</v>
      </c>
      <c r="R37" s="14">
        <v>23858129.299999997</v>
      </c>
      <c r="S37" s="14">
        <v>0</v>
      </c>
      <c r="T37" s="4"/>
      <c r="U37" s="14">
        <v>7002468.15</v>
      </c>
      <c r="V37" s="14">
        <v>20330146.5</v>
      </c>
      <c r="W37" s="14">
        <v>5798534.050000001</v>
      </c>
      <c r="X37" s="14">
        <v>22387457.65</v>
      </c>
      <c r="Y37" s="14">
        <v>0</v>
      </c>
    </row>
    <row r="38" spans="1:25" ht="12.75">
      <c r="A38" s="5">
        <f t="shared" si="0"/>
        <v>24</v>
      </c>
      <c r="B38" s="7" t="s">
        <v>130</v>
      </c>
      <c r="C38" s="4">
        <f>SUM(O38:S38)</f>
        <v>-2676876.27</v>
      </c>
      <c r="D38" s="4">
        <f>SUM(U38:Y38)</f>
        <v>-2956940.67</v>
      </c>
      <c r="E38" s="4"/>
      <c r="F38" s="4"/>
      <c r="G38" s="4">
        <f>ROUND(SUM(C38:F38)/2,0)</f>
        <v>-2816908</v>
      </c>
      <c r="H38" s="4"/>
      <c r="I38" s="4">
        <f t="shared" si="7"/>
        <v>-2430285.12</v>
      </c>
      <c r="J38" s="4">
        <f t="shared" si="6"/>
        <v>-386623.35</v>
      </c>
      <c r="K38" s="4">
        <f t="shared" si="6"/>
        <v>0</v>
      </c>
      <c r="L38" s="4">
        <f t="shared" si="6"/>
        <v>0</v>
      </c>
      <c r="M38" s="4">
        <f t="shared" si="6"/>
        <v>0</v>
      </c>
      <c r="N38" s="4"/>
      <c r="O38" s="14">
        <v>-2309472.47</v>
      </c>
      <c r="P38" s="14">
        <v>-367403.8</v>
      </c>
      <c r="Q38" s="14">
        <v>0</v>
      </c>
      <c r="R38" s="14">
        <v>0</v>
      </c>
      <c r="S38" s="14">
        <v>0</v>
      </c>
      <c r="T38" s="4"/>
      <c r="U38" s="14">
        <v>-2551097.77</v>
      </c>
      <c r="V38" s="14">
        <v>-405842.9</v>
      </c>
      <c r="W38" s="14">
        <v>0</v>
      </c>
      <c r="X38" s="14">
        <v>0</v>
      </c>
      <c r="Y38" s="14">
        <v>0</v>
      </c>
    </row>
    <row r="39" spans="1:25" ht="12.75">
      <c r="A39" s="5">
        <f t="shared" si="0"/>
        <v>25</v>
      </c>
      <c r="B39" s="7" t="s">
        <v>286</v>
      </c>
      <c r="C39" s="4">
        <f>SUM(O39:S39)</f>
        <v>23245532.06</v>
      </c>
      <c r="D39" s="4">
        <f>SUM(U39:Y39)</f>
        <v>0</v>
      </c>
      <c r="E39" s="4"/>
      <c r="F39" s="4"/>
      <c r="G39" s="4">
        <f>ROUND(SUM(C39:F39)/2,0)</f>
        <v>11622766</v>
      </c>
      <c r="H39" s="4"/>
      <c r="I39" s="4">
        <f t="shared" si="7"/>
        <v>11622766.03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0</v>
      </c>
      <c r="N39" s="4"/>
      <c r="O39" s="14">
        <v>23245532.06</v>
      </c>
      <c r="P39" s="14">
        <v>0</v>
      </c>
      <c r="Q39" s="14">
        <v>0</v>
      </c>
      <c r="R39" s="14">
        <v>0</v>
      </c>
      <c r="S39" s="14">
        <v>0</v>
      </c>
      <c r="T39" s="4"/>
      <c r="U39" s="14">
        <v>0</v>
      </c>
      <c r="V39" s="14">
        <v>0</v>
      </c>
      <c r="W39" s="14">
        <v>0</v>
      </c>
      <c r="X39" s="14">
        <v>0</v>
      </c>
      <c r="Y39" s="14">
        <v>0</v>
      </c>
    </row>
    <row r="40" spans="1:25" ht="12.75">
      <c r="A40" s="5">
        <f t="shared" si="0"/>
        <v>26</v>
      </c>
      <c r="B40" s="8" t="s">
        <v>129</v>
      </c>
      <c r="C40" s="4">
        <f t="shared" si="3"/>
        <v>19539966.380000003</v>
      </c>
      <c r="D40" s="4">
        <f t="shared" si="4"/>
        <v>19143256.4</v>
      </c>
      <c r="E40" s="4"/>
      <c r="F40" s="4"/>
      <c r="G40" s="4">
        <f t="shared" si="5"/>
        <v>19341611</v>
      </c>
      <c r="H40" s="4"/>
      <c r="I40" s="4">
        <f t="shared" si="7"/>
        <v>4049963.87</v>
      </c>
      <c r="J40" s="4">
        <f t="shared" si="6"/>
        <v>8200105.565</v>
      </c>
      <c r="K40" s="4">
        <f t="shared" si="6"/>
        <v>3455033.29</v>
      </c>
      <c r="L40" s="4">
        <f t="shared" si="6"/>
        <v>3636508.664999999</v>
      </c>
      <c r="M40" s="4">
        <f t="shared" si="6"/>
        <v>0</v>
      </c>
      <c r="N40" s="4"/>
      <c r="O40" s="14">
        <v>4084021.12</v>
      </c>
      <c r="P40" s="14">
        <v>8417485.05</v>
      </c>
      <c r="Q40" s="14">
        <v>3450067.92</v>
      </c>
      <c r="R40" s="14">
        <v>3588392.289999999</v>
      </c>
      <c r="S40" s="14">
        <v>0</v>
      </c>
      <c r="T40" s="4"/>
      <c r="U40" s="14">
        <v>4015906.62</v>
      </c>
      <c r="V40" s="14">
        <v>7982726.08</v>
      </c>
      <c r="W40" s="14">
        <v>3459998.66</v>
      </c>
      <c r="X40" s="14">
        <v>3684625.039999999</v>
      </c>
      <c r="Y40" s="14">
        <v>0</v>
      </c>
    </row>
    <row r="41" spans="1:25" ht="12.75">
      <c r="A41" s="5">
        <f t="shared" si="0"/>
        <v>27</v>
      </c>
      <c r="B41" s="8" t="s">
        <v>287</v>
      </c>
      <c r="C41" s="4">
        <f t="shared" si="3"/>
        <v>808656.3000000007</v>
      </c>
      <c r="D41" s="4">
        <f t="shared" si="4"/>
        <v>1227429</v>
      </c>
      <c r="E41" s="4"/>
      <c r="F41" s="4"/>
      <c r="G41" s="4">
        <f t="shared" si="5"/>
        <v>1018043</v>
      </c>
      <c r="H41" s="4"/>
      <c r="I41" s="4">
        <f t="shared" si="7"/>
        <v>0</v>
      </c>
      <c r="J41" s="4">
        <f t="shared" si="6"/>
        <v>1018042.6500000004</v>
      </c>
      <c r="K41" s="4">
        <f t="shared" si="6"/>
        <v>0</v>
      </c>
      <c r="L41" s="4">
        <f t="shared" si="6"/>
        <v>0</v>
      </c>
      <c r="M41" s="4">
        <f t="shared" si="6"/>
        <v>0</v>
      </c>
      <c r="N41" s="4"/>
      <c r="O41" s="14">
        <v>0</v>
      </c>
      <c r="P41" s="14">
        <v>808656.3000000007</v>
      </c>
      <c r="Q41" s="14">
        <v>0</v>
      </c>
      <c r="R41" s="14">
        <v>0</v>
      </c>
      <c r="S41" s="14">
        <v>0</v>
      </c>
      <c r="T41" s="4"/>
      <c r="U41" s="14">
        <v>0</v>
      </c>
      <c r="V41" s="14">
        <v>1227429</v>
      </c>
      <c r="W41" s="14">
        <v>0</v>
      </c>
      <c r="X41" s="14">
        <v>0</v>
      </c>
      <c r="Y41" s="14">
        <v>0</v>
      </c>
    </row>
    <row r="42" spans="1:25" ht="12.75">
      <c r="A42" s="5">
        <f t="shared" si="0"/>
        <v>28</v>
      </c>
      <c r="B42" s="8" t="s">
        <v>288</v>
      </c>
      <c r="C42" s="4">
        <f t="shared" si="3"/>
        <v>0</v>
      </c>
      <c r="D42" s="4">
        <f t="shared" si="4"/>
        <v>65708</v>
      </c>
      <c r="E42" s="4"/>
      <c r="F42" s="4"/>
      <c r="G42" s="4">
        <f t="shared" si="5"/>
        <v>32854</v>
      </c>
      <c r="H42" s="4"/>
      <c r="I42" s="4">
        <f t="shared" si="7"/>
        <v>32854</v>
      </c>
      <c r="J42" s="4">
        <f t="shared" si="6"/>
        <v>0</v>
      </c>
      <c r="K42" s="4">
        <f t="shared" si="6"/>
        <v>0</v>
      </c>
      <c r="L42" s="4">
        <f t="shared" si="6"/>
        <v>0</v>
      </c>
      <c r="M42" s="4">
        <f t="shared" si="6"/>
        <v>0</v>
      </c>
      <c r="N42" s="4"/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4"/>
      <c r="U42" s="14">
        <v>65708</v>
      </c>
      <c r="V42" s="14">
        <v>0</v>
      </c>
      <c r="W42" s="14">
        <v>0</v>
      </c>
      <c r="X42" s="14">
        <v>0</v>
      </c>
      <c r="Y42" s="14">
        <v>0</v>
      </c>
    </row>
    <row r="43" spans="1:25" ht="12.75">
      <c r="A43" s="5">
        <f t="shared" si="0"/>
        <v>29</v>
      </c>
      <c r="B43" s="8" t="s">
        <v>289</v>
      </c>
      <c r="C43" s="4">
        <f t="shared" si="3"/>
        <v>129147.15000000037</v>
      </c>
      <c r="D43" s="4">
        <f t="shared" si="4"/>
        <v>301343.1500000004</v>
      </c>
      <c r="E43" s="4"/>
      <c r="F43" s="4"/>
      <c r="G43" s="4">
        <f t="shared" si="5"/>
        <v>215245</v>
      </c>
      <c r="H43" s="4"/>
      <c r="I43" s="4">
        <f t="shared" si="7"/>
        <v>0</v>
      </c>
      <c r="J43" s="4">
        <f t="shared" si="6"/>
        <v>0</v>
      </c>
      <c r="K43" s="4">
        <f t="shared" si="6"/>
        <v>215245.15000000037</v>
      </c>
      <c r="L43" s="4">
        <f t="shared" si="6"/>
        <v>0</v>
      </c>
      <c r="M43" s="4">
        <f t="shared" si="6"/>
        <v>0</v>
      </c>
      <c r="N43" s="4"/>
      <c r="O43" s="14">
        <v>0</v>
      </c>
      <c r="P43" s="14">
        <v>0</v>
      </c>
      <c r="Q43" s="14">
        <v>129147.15000000037</v>
      </c>
      <c r="R43" s="14">
        <v>0</v>
      </c>
      <c r="S43" s="14">
        <v>0</v>
      </c>
      <c r="T43" s="4"/>
      <c r="U43" s="14">
        <v>0</v>
      </c>
      <c r="V43" s="14">
        <v>0</v>
      </c>
      <c r="W43" s="14">
        <v>301343.1500000004</v>
      </c>
      <c r="X43" s="14">
        <v>0</v>
      </c>
      <c r="Y43" s="14">
        <v>0</v>
      </c>
    </row>
    <row r="44" spans="1:25" ht="12.75">
      <c r="A44" s="5">
        <f t="shared" si="0"/>
        <v>30</v>
      </c>
      <c r="B44" s="8" t="s">
        <v>290</v>
      </c>
      <c r="C44" s="4">
        <f t="shared" si="3"/>
        <v>0</v>
      </c>
      <c r="D44" s="4">
        <f t="shared" si="4"/>
        <v>0</v>
      </c>
      <c r="E44" s="4"/>
      <c r="F44" s="4"/>
      <c r="G44" s="4">
        <f t="shared" si="5"/>
        <v>0</v>
      </c>
      <c r="H44" s="4"/>
      <c r="I44" s="4">
        <f t="shared" si="7"/>
        <v>0</v>
      </c>
      <c r="J44" s="4">
        <f t="shared" si="6"/>
        <v>0</v>
      </c>
      <c r="K44" s="4">
        <f t="shared" si="6"/>
        <v>0</v>
      </c>
      <c r="L44" s="4">
        <f t="shared" si="6"/>
        <v>0</v>
      </c>
      <c r="M44" s="4">
        <f t="shared" si="6"/>
        <v>0</v>
      </c>
      <c r="N44" s="4"/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4"/>
      <c r="U44" s="14">
        <v>0</v>
      </c>
      <c r="V44" s="14">
        <v>0</v>
      </c>
      <c r="W44" s="14">
        <v>0</v>
      </c>
      <c r="X44" s="14">
        <v>0</v>
      </c>
      <c r="Y44" s="14">
        <v>0</v>
      </c>
    </row>
    <row r="45" spans="1:25" ht="12.75">
      <c r="A45" s="5">
        <f t="shared" si="0"/>
        <v>31</v>
      </c>
      <c r="B45" s="8" t="s">
        <v>291</v>
      </c>
      <c r="C45" s="4">
        <f t="shared" si="3"/>
        <v>241237</v>
      </c>
      <c r="D45" s="4">
        <f t="shared" si="4"/>
        <v>323887</v>
      </c>
      <c r="E45" s="4"/>
      <c r="F45" s="4"/>
      <c r="G45" s="4">
        <f t="shared" si="5"/>
        <v>282562</v>
      </c>
      <c r="H45" s="4"/>
      <c r="I45" s="4">
        <f t="shared" si="7"/>
        <v>282562</v>
      </c>
      <c r="J45" s="4">
        <f t="shared" si="6"/>
        <v>0</v>
      </c>
      <c r="K45" s="4">
        <f t="shared" si="6"/>
        <v>0</v>
      </c>
      <c r="L45" s="4">
        <f t="shared" si="6"/>
        <v>0</v>
      </c>
      <c r="M45" s="4">
        <f t="shared" si="6"/>
        <v>0</v>
      </c>
      <c r="N45" s="4"/>
      <c r="O45" s="14">
        <v>241237</v>
      </c>
      <c r="P45" s="14">
        <v>0</v>
      </c>
      <c r="Q45" s="14">
        <v>0</v>
      </c>
      <c r="R45" s="14">
        <v>0</v>
      </c>
      <c r="S45" s="14">
        <v>0</v>
      </c>
      <c r="T45" s="4"/>
      <c r="U45" s="14">
        <v>323887</v>
      </c>
      <c r="V45" s="14">
        <v>0</v>
      </c>
      <c r="W45" s="14">
        <v>0</v>
      </c>
      <c r="X45" s="14">
        <v>0</v>
      </c>
      <c r="Y45" s="14">
        <v>0</v>
      </c>
    </row>
    <row r="46" spans="1:25" ht="12.75">
      <c r="A46" s="5">
        <f t="shared" si="0"/>
        <v>32</v>
      </c>
      <c r="B46" s="8" t="s">
        <v>292</v>
      </c>
      <c r="C46" s="4">
        <f t="shared" si="3"/>
        <v>0.009999999776482582</v>
      </c>
      <c r="D46" s="4">
        <f t="shared" si="4"/>
        <v>0.009999999776482582</v>
      </c>
      <c r="E46" s="4"/>
      <c r="F46" s="4"/>
      <c r="G46" s="4">
        <f t="shared" si="5"/>
        <v>0</v>
      </c>
      <c r="H46" s="4"/>
      <c r="I46" s="4">
        <f t="shared" si="7"/>
        <v>0</v>
      </c>
      <c r="J46" s="4">
        <f t="shared" si="6"/>
        <v>0</v>
      </c>
      <c r="K46" s="4">
        <f t="shared" si="6"/>
        <v>0.009999999776482582</v>
      </c>
      <c r="L46" s="4">
        <f t="shared" si="6"/>
        <v>0</v>
      </c>
      <c r="M46" s="4">
        <f t="shared" si="6"/>
        <v>0</v>
      </c>
      <c r="N46" s="4"/>
      <c r="O46" s="14">
        <v>0</v>
      </c>
      <c r="P46" s="14">
        <v>0</v>
      </c>
      <c r="Q46" s="14">
        <v>0.009999999776482582</v>
      </c>
      <c r="R46" s="14">
        <v>0</v>
      </c>
      <c r="S46" s="14">
        <v>0</v>
      </c>
      <c r="T46" s="4"/>
      <c r="U46" s="14">
        <v>0</v>
      </c>
      <c r="V46" s="14">
        <v>0</v>
      </c>
      <c r="W46" s="14">
        <v>0.009999999776482582</v>
      </c>
      <c r="X46" s="14">
        <v>0</v>
      </c>
      <c r="Y46" s="14">
        <v>0</v>
      </c>
    </row>
    <row r="47" spans="1:25" ht="12.75">
      <c r="A47" s="5">
        <f t="shared" si="0"/>
        <v>33</v>
      </c>
      <c r="B47" s="8" t="s">
        <v>293</v>
      </c>
      <c r="C47" s="4">
        <f t="shared" si="3"/>
        <v>0</v>
      </c>
      <c r="D47" s="4">
        <f t="shared" si="4"/>
        <v>0</v>
      </c>
      <c r="E47" s="4"/>
      <c r="F47" s="4"/>
      <c r="G47" s="4">
        <f t="shared" si="5"/>
        <v>0</v>
      </c>
      <c r="H47" s="4"/>
      <c r="I47" s="4">
        <f t="shared" si="7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/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4"/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5">
        <f t="shared" si="0"/>
        <v>34</v>
      </c>
      <c r="B48" s="7" t="s">
        <v>294</v>
      </c>
      <c r="C48" s="4">
        <f t="shared" si="3"/>
        <v>0</v>
      </c>
      <c r="D48" s="4">
        <f t="shared" si="4"/>
        <v>0</v>
      </c>
      <c r="E48" s="4"/>
      <c r="F48" s="4"/>
      <c r="G48" s="4">
        <f t="shared" si="5"/>
        <v>0</v>
      </c>
      <c r="H48" s="4"/>
      <c r="I48" s="4">
        <f t="shared" si="7"/>
        <v>0</v>
      </c>
      <c r="J48" s="4">
        <f t="shared" si="6"/>
        <v>0</v>
      </c>
      <c r="K48" s="4">
        <f t="shared" si="6"/>
        <v>0</v>
      </c>
      <c r="L48" s="4">
        <f t="shared" si="6"/>
        <v>0</v>
      </c>
      <c r="M48" s="4">
        <f t="shared" si="6"/>
        <v>0</v>
      </c>
      <c r="N48" s="4"/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4"/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5">
        <f t="shared" si="0"/>
        <v>35</v>
      </c>
      <c r="B49" s="8" t="s">
        <v>295</v>
      </c>
      <c r="C49" s="4">
        <f t="shared" si="3"/>
        <v>7478</v>
      </c>
      <c r="D49" s="4">
        <f t="shared" si="4"/>
        <v>11217</v>
      </c>
      <c r="E49" s="4"/>
      <c r="F49" s="4"/>
      <c r="G49" s="4">
        <f t="shared" si="5"/>
        <v>9348</v>
      </c>
      <c r="H49" s="4"/>
      <c r="I49" s="4">
        <f t="shared" si="7"/>
        <v>9347.5</v>
      </c>
      <c r="J49" s="4">
        <f t="shared" si="6"/>
        <v>0</v>
      </c>
      <c r="K49" s="4">
        <f t="shared" si="6"/>
        <v>0</v>
      </c>
      <c r="L49" s="4">
        <f t="shared" si="6"/>
        <v>0</v>
      </c>
      <c r="M49" s="4">
        <f t="shared" si="6"/>
        <v>0</v>
      </c>
      <c r="N49" s="4"/>
      <c r="O49" s="14">
        <v>7478</v>
      </c>
      <c r="P49" s="14">
        <v>0</v>
      </c>
      <c r="Q49" s="14">
        <v>0</v>
      </c>
      <c r="R49" s="14">
        <v>0</v>
      </c>
      <c r="S49" s="14">
        <v>0</v>
      </c>
      <c r="T49" s="4"/>
      <c r="U49" s="14">
        <v>11217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5">
        <f t="shared" si="0"/>
        <v>36</v>
      </c>
      <c r="B50" s="8" t="s">
        <v>296</v>
      </c>
      <c r="C50" s="4">
        <f t="shared" si="3"/>
        <v>23930</v>
      </c>
      <c r="D50" s="4">
        <f t="shared" si="4"/>
        <v>35896</v>
      </c>
      <c r="E50" s="4"/>
      <c r="F50" s="4"/>
      <c r="G50" s="4">
        <f t="shared" si="5"/>
        <v>29913</v>
      </c>
      <c r="H50" s="4"/>
      <c r="I50" s="4">
        <f t="shared" si="7"/>
        <v>29913</v>
      </c>
      <c r="J50" s="4">
        <f t="shared" si="6"/>
        <v>0</v>
      </c>
      <c r="K50" s="4">
        <f t="shared" si="6"/>
        <v>0</v>
      </c>
      <c r="L50" s="4">
        <f t="shared" si="6"/>
        <v>0</v>
      </c>
      <c r="M50" s="4">
        <f t="shared" si="6"/>
        <v>0</v>
      </c>
      <c r="N50" s="4"/>
      <c r="O50" s="14">
        <v>23930</v>
      </c>
      <c r="P50" s="14">
        <v>0</v>
      </c>
      <c r="Q50" s="14">
        <v>0</v>
      </c>
      <c r="R50" s="14">
        <v>0</v>
      </c>
      <c r="S50" s="14">
        <v>0</v>
      </c>
      <c r="T50" s="4"/>
      <c r="U50" s="14">
        <v>35896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5">
        <f t="shared" si="0"/>
        <v>37</v>
      </c>
      <c r="B51" s="42" t="s">
        <v>125</v>
      </c>
      <c r="C51" s="4">
        <f t="shared" si="3"/>
        <v>0</v>
      </c>
      <c r="D51" s="4">
        <f t="shared" si="4"/>
        <v>19471.75</v>
      </c>
      <c r="E51" s="4"/>
      <c r="F51" s="4"/>
      <c r="G51" s="4">
        <f t="shared" si="5"/>
        <v>9736</v>
      </c>
      <c r="H51" s="4"/>
      <c r="I51" s="4">
        <f t="shared" si="7"/>
        <v>2094</v>
      </c>
      <c r="J51" s="4">
        <f t="shared" si="6"/>
        <v>23</v>
      </c>
      <c r="K51" s="4">
        <f t="shared" si="6"/>
        <v>3625.4250000000466</v>
      </c>
      <c r="L51" s="4">
        <f t="shared" si="6"/>
        <v>3993.4499999999534</v>
      </c>
      <c r="M51" s="4">
        <f t="shared" si="6"/>
        <v>0</v>
      </c>
      <c r="N51" s="4"/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4"/>
      <c r="U51" s="14">
        <v>4188</v>
      </c>
      <c r="V51" s="14">
        <v>46</v>
      </c>
      <c r="W51" s="14">
        <v>7250.850000000093</v>
      </c>
      <c r="X51" s="14">
        <v>7986.899999999907</v>
      </c>
      <c r="Y51" s="14">
        <v>0</v>
      </c>
    </row>
    <row r="52" spans="1:25" ht="12.75">
      <c r="A52" s="5">
        <f t="shared" si="0"/>
        <v>38</v>
      </c>
      <c r="B52" s="42" t="s">
        <v>297</v>
      </c>
      <c r="C52" s="4">
        <f t="shared" si="3"/>
        <v>0</v>
      </c>
      <c r="D52" s="4">
        <f t="shared" si="4"/>
        <v>7374</v>
      </c>
      <c r="E52" s="4"/>
      <c r="F52" s="4"/>
      <c r="G52" s="4">
        <f t="shared" si="5"/>
        <v>3687</v>
      </c>
      <c r="H52" s="4"/>
      <c r="I52" s="4">
        <f t="shared" si="7"/>
        <v>3687</v>
      </c>
      <c r="J52" s="4">
        <f t="shared" si="6"/>
        <v>0</v>
      </c>
      <c r="K52" s="4">
        <f t="shared" si="6"/>
        <v>0</v>
      </c>
      <c r="L52" s="4">
        <f t="shared" si="6"/>
        <v>0</v>
      </c>
      <c r="M52" s="4">
        <f t="shared" si="6"/>
        <v>0</v>
      </c>
      <c r="N52" s="4"/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4"/>
      <c r="U52" s="14">
        <v>7374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5">
        <f t="shared" si="0"/>
        <v>39</v>
      </c>
      <c r="B53" s="42" t="s">
        <v>298</v>
      </c>
      <c r="C53" s="4">
        <f t="shared" si="3"/>
        <v>23918</v>
      </c>
      <c r="D53" s="4">
        <f t="shared" si="4"/>
        <v>55809</v>
      </c>
      <c r="E53" s="4"/>
      <c r="F53" s="4"/>
      <c r="G53" s="4">
        <f aca="true" t="shared" si="8" ref="G53:G82">ROUND(SUM(C53:F53)/2,0)</f>
        <v>39864</v>
      </c>
      <c r="H53" s="4"/>
      <c r="I53" s="4">
        <f t="shared" si="7"/>
        <v>0</v>
      </c>
      <c r="J53" s="4">
        <f t="shared" si="6"/>
        <v>0</v>
      </c>
      <c r="K53" s="4">
        <f t="shared" si="6"/>
        <v>39863.5</v>
      </c>
      <c r="L53" s="4">
        <f t="shared" si="6"/>
        <v>0</v>
      </c>
      <c r="M53" s="4">
        <f t="shared" si="6"/>
        <v>0</v>
      </c>
      <c r="N53" s="4"/>
      <c r="O53" s="14">
        <v>0</v>
      </c>
      <c r="P53" s="14">
        <v>0</v>
      </c>
      <c r="Q53" s="14">
        <v>23918</v>
      </c>
      <c r="R53" s="14">
        <v>0</v>
      </c>
      <c r="S53" s="14">
        <v>0</v>
      </c>
      <c r="T53" s="4"/>
      <c r="U53" s="14">
        <v>0</v>
      </c>
      <c r="V53" s="14">
        <v>0</v>
      </c>
      <c r="W53" s="14">
        <v>55809</v>
      </c>
      <c r="X53" s="14">
        <v>0</v>
      </c>
      <c r="Y53" s="14">
        <v>0</v>
      </c>
    </row>
    <row r="54" spans="1:25" ht="12.75">
      <c r="A54" s="5">
        <f t="shared" si="0"/>
        <v>40</v>
      </c>
      <c r="B54" s="42" t="s">
        <v>299</v>
      </c>
      <c r="C54" s="4">
        <f t="shared" si="3"/>
        <v>0</v>
      </c>
      <c r="D54" s="4">
        <f t="shared" si="4"/>
        <v>0</v>
      </c>
      <c r="E54" s="4"/>
      <c r="F54" s="4"/>
      <c r="G54" s="4">
        <f t="shared" si="8"/>
        <v>0</v>
      </c>
      <c r="H54" s="4"/>
      <c r="I54" s="4">
        <f t="shared" si="7"/>
        <v>0</v>
      </c>
      <c r="J54" s="4">
        <f t="shared" si="6"/>
        <v>0</v>
      </c>
      <c r="K54" s="4">
        <f t="shared" si="6"/>
        <v>0</v>
      </c>
      <c r="L54" s="4">
        <f t="shared" si="6"/>
        <v>0</v>
      </c>
      <c r="M54" s="4">
        <f t="shared" si="6"/>
        <v>0</v>
      </c>
      <c r="N54" s="4"/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4"/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5">
        <f t="shared" si="0"/>
        <v>41</v>
      </c>
      <c r="B55" s="42" t="s">
        <v>300</v>
      </c>
      <c r="C55" s="4">
        <f t="shared" si="3"/>
        <v>680</v>
      </c>
      <c r="D55" s="4">
        <f t="shared" si="4"/>
        <v>913</v>
      </c>
      <c r="E55" s="4"/>
      <c r="F55" s="4"/>
      <c r="G55" s="4">
        <f t="shared" si="8"/>
        <v>797</v>
      </c>
      <c r="H55" s="4"/>
      <c r="I55" s="4">
        <f t="shared" si="7"/>
        <v>796.5</v>
      </c>
      <c r="J55" s="4">
        <f t="shared" si="6"/>
        <v>0</v>
      </c>
      <c r="K55" s="4">
        <f t="shared" si="6"/>
        <v>0</v>
      </c>
      <c r="L55" s="4">
        <f t="shared" si="6"/>
        <v>0</v>
      </c>
      <c r="M55" s="4">
        <f t="shared" si="6"/>
        <v>0</v>
      </c>
      <c r="N55" s="4"/>
      <c r="O55" s="14">
        <v>680</v>
      </c>
      <c r="P55" s="14">
        <v>0</v>
      </c>
      <c r="Q55" s="14">
        <v>0</v>
      </c>
      <c r="R55" s="14">
        <v>0</v>
      </c>
      <c r="S55" s="14">
        <v>0</v>
      </c>
      <c r="T55" s="4"/>
      <c r="U55" s="14">
        <v>913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5">
        <f t="shared" si="0"/>
        <v>42</v>
      </c>
      <c r="B56" s="42" t="s">
        <v>301</v>
      </c>
      <c r="C56" s="4">
        <f t="shared" si="3"/>
        <v>0</v>
      </c>
      <c r="D56" s="4">
        <f t="shared" si="4"/>
        <v>0</v>
      </c>
      <c r="E56" s="4"/>
      <c r="F56" s="4"/>
      <c r="G56" s="4">
        <f t="shared" si="8"/>
        <v>0</v>
      </c>
      <c r="H56" s="4"/>
      <c r="I56" s="4">
        <f t="shared" si="7"/>
        <v>0</v>
      </c>
      <c r="J56" s="4">
        <f t="shared" si="6"/>
        <v>0</v>
      </c>
      <c r="K56" s="4">
        <f t="shared" si="6"/>
        <v>0</v>
      </c>
      <c r="L56" s="4">
        <f t="shared" si="6"/>
        <v>0</v>
      </c>
      <c r="M56" s="4">
        <f t="shared" si="6"/>
        <v>0</v>
      </c>
      <c r="N56" s="4"/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4"/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5">
        <f t="shared" si="0"/>
        <v>43</v>
      </c>
      <c r="B57" s="42" t="s">
        <v>124</v>
      </c>
      <c r="C57" s="4">
        <f t="shared" si="3"/>
        <v>0</v>
      </c>
      <c r="D57" s="4">
        <f t="shared" si="4"/>
        <v>-639.0499999999884</v>
      </c>
      <c r="E57" s="4"/>
      <c r="F57" s="4"/>
      <c r="G57" s="4">
        <f t="shared" si="8"/>
        <v>-320</v>
      </c>
      <c r="H57" s="4"/>
      <c r="I57" s="4">
        <f t="shared" si="7"/>
        <v>-69</v>
      </c>
      <c r="J57" s="4">
        <f t="shared" si="6"/>
        <v>0</v>
      </c>
      <c r="K57" s="4">
        <f t="shared" si="6"/>
        <v>-119</v>
      </c>
      <c r="L57" s="4">
        <f t="shared" si="6"/>
        <v>-131.52499999999418</v>
      </c>
      <c r="M57" s="4">
        <f t="shared" si="6"/>
        <v>0</v>
      </c>
      <c r="N57" s="4"/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4"/>
      <c r="U57" s="14">
        <v>-138</v>
      </c>
      <c r="V57" s="14">
        <v>0</v>
      </c>
      <c r="W57" s="14">
        <v>-238</v>
      </c>
      <c r="X57" s="14">
        <v>-263.04999999998836</v>
      </c>
      <c r="Y57" s="14">
        <v>0</v>
      </c>
    </row>
    <row r="58" spans="1:25" ht="12.75">
      <c r="A58" s="5">
        <f t="shared" si="0"/>
        <v>44</v>
      </c>
      <c r="B58" s="7" t="s">
        <v>302</v>
      </c>
      <c r="C58" s="4">
        <f t="shared" si="3"/>
        <v>267.9500000000007</v>
      </c>
      <c r="D58" s="4">
        <f t="shared" si="4"/>
        <v>624.9500000000007</v>
      </c>
      <c r="E58" s="4"/>
      <c r="F58" s="4"/>
      <c r="G58" s="4">
        <f t="shared" si="8"/>
        <v>446</v>
      </c>
      <c r="H58" s="4"/>
      <c r="I58" s="4">
        <f t="shared" si="7"/>
        <v>0</v>
      </c>
      <c r="J58" s="4">
        <f t="shared" si="6"/>
        <v>0</v>
      </c>
      <c r="K58" s="4">
        <f t="shared" si="6"/>
        <v>446.4500000000007</v>
      </c>
      <c r="L58" s="4">
        <f t="shared" si="6"/>
        <v>0</v>
      </c>
      <c r="M58" s="4">
        <f t="shared" si="6"/>
        <v>0</v>
      </c>
      <c r="N58" s="4"/>
      <c r="O58" s="14">
        <v>0</v>
      </c>
      <c r="P58" s="14">
        <v>0</v>
      </c>
      <c r="Q58" s="14">
        <v>267.9500000000007</v>
      </c>
      <c r="R58" s="14">
        <v>0</v>
      </c>
      <c r="S58" s="14">
        <v>0</v>
      </c>
      <c r="T58" s="4"/>
      <c r="U58" s="14">
        <v>0</v>
      </c>
      <c r="V58" s="14">
        <v>0</v>
      </c>
      <c r="W58" s="14">
        <v>624.9500000000007</v>
      </c>
      <c r="X58" s="14">
        <v>0</v>
      </c>
      <c r="Y58" s="14">
        <v>0</v>
      </c>
    </row>
    <row r="59" spans="1:25" ht="12.75">
      <c r="A59" s="5">
        <f t="shared" si="0"/>
        <v>45</v>
      </c>
      <c r="B59" s="7" t="s">
        <v>303</v>
      </c>
      <c r="C59" s="4">
        <f t="shared" si="3"/>
        <v>0</v>
      </c>
      <c r="D59" s="4">
        <f t="shared" si="4"/>
        <v>439</v>
      </c>
      <c r="E59" s="4"/>
      <c r="F59" s="4"/>
      <c r="G59" s="4">
        <f t="shared" si="8"/>
        <v>220</v>
      </c>
      <c r="H59" s="4"/>
      <c r="I59" s="4">
        <f t="shared" si="7"/>
        <v>219.5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/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4"/>
      <c r="U59" s="14">
        <v>439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5">
        <f t="shared" si="0"/>
        <v>46</v>
      </c>
      <c r="B60" s="7" t="s">
        <v>304</v>
      </c>
      <c r="C60" s="4">
        <f t="shared" si="3"/>
        <v>0</v>
      </c>
      <c r="D60" s="4">
        <f t="shared" si="4"/>
        <v>0</v>
      </c>
      <c r="E60" s="4"/>
      <c r="F60" s="4"/>
      <c r="G60" s="4">
        <f t="shared" si="8"/>
        <v>0</v>
      </c>
      <c r="H60" s="4"/>
      <c r="I60" s="4">
        <f t="shared" si="7"/>
        <v>0</v>
      </c>
      <c r="J60" s="4">
        <f t="shared" si="6"/>
        <v>0</v>
      </c>
      <c r="K60" s="4">
        <f t="shared" si="6"/>
        <v>0</v>
      </c>
      <c r="L60" s="4">
        <f t="shared" si="6"/>
        <v>0</v>
      </c>
      <c r="M60" s="4">
        <f t="shared" si="6"/>
        <v>0</v>
      </c>
      <c r="N60" s="4"/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4"/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5">
        <f t="shared" si="0"/>
        <v>47</v>
      </c>
      <c r="B61" s="7" t="s">
        <v>305</v>
      </c>
      <c r="C61" s="4">
        <f t="shared" si="3"/>
        <v>0</v>
      </c>
      <c r="D61" s="4">
        <f t="shared" si="4"/>
        <v>0</v>
      </c>
      <c r="E61" s="4"/>
      <c r="F61" s="4"/>
      <c r="G61" s="4">
        <f t="shared" si="8"/>
        <v>0</v>
      </c>
      <c r="H61" s="4"/>
      <c r="I61" s="4">
        <f t="shared" si="7"/>
        <v>0</v>
      </c>
      <c r="J61" s="4">
        <f t="shared" si="6"/>
        <v>0</v>
      </c>
      <c r="K61" s="4">
        <f t="shared" si="6"/>
        <v>0</v>
      </c>
      <c r="L61" s="4">
        <f t="shared" si="6"/>
        <v>0</v>
      </c>
      <c r="M61" s="4">
        <f t="shared" si="6"/>
        <v>0</v>
      </c>
      <c r="N61" s="4"/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4"/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5">
        <f t="shared" si="0"/>
        <v>48</v>
      </c>
      <c r="B62" s="8" t="s">
        <v>123</v>
      </c>
      <c r="C62" s="4">
        <f t="shared" si="3"/>
        <v>0</v>
      </c>
      <c r="D62" s="4">
        <f t="shared" si="4"/>
        <v>0</v>
      </c>
      <c r="E62" s="4"/>
      <c r="F62" s="4"/>
      <c r="G62" s="4">
        <f t="shared" si="8"/>
        <v>0</v>
      </c>
      <c r="H62" s="4"/>
      <c r="I62" s="4">
        <f t="shared" si="7"/>
        <v>0</v>
      </c>
      <c r="J62" s="4">
        <f t="shared" si="6"/>
        <v>0</v>
      </c>
      <c r="K62" s="4">
        <f t="shared" si="6"/>
        <v>0</v>
      </c>
      <c r="L62" s="4">
        <f t="shared" si="6"/>
        <v>0</v>
      </c>
      <c r="M62" s="4">
        <f t="shared" si="6"/>
        <v>0</v>
      </c>
      <c r="N62" s="4"/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4"/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5">
        <f t="shared" si="0"/>
        <v>49</v>
      </c>
      <c r="B63" s="7" t="s">
        <v>122</v>
      </c>
      <c r="C63" s="4">
        <f t="shared" si="3"/>
        <v>0</v>
      </c>
      <c r="D63" s="4">
        <f t="shared" si="4"/>
        <v>2009.8500000000058</v>
      </c>
      <c r="E63" s="4"/>
      <c r="F63" s="4"/>
      <c r="G63" s="4">
        <f t="shared" si="8"/>
        <v>1005</v>
      </c>
      <c r="H63" s="4"/>
      <c r="I63" s="4">
        <f t="shared" si="7"/>
        <v>216.5</v>
      </c>
      <c r="J63" s="4">
        <f t="shared" si="6"/>
        <v>1</v>
      </c>
      <c r="K63" s="4">
        <f t="shared" si="6"/>
        <v>374.5</v>
      </c>
      <c r="L63" s="4">
        <f t="shared" si="6"/>
        <v>412.9250000000029</v>
      </c>
      <c r="M63" s="4">
        <f t="shared" si="6"/>
        <v>0</v>
      </c>
      <c r="N63" s="4"/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4"/>
      <c r="U63" s="14">
        <v>433</v>
      </c>
      <c r="V63" s="14">
        <v>2</v>
      </c>
      <c r="W63" s="14">
        <v>749</v>
      </c>
      <c r="X63" s="14">
        <v>825.8500000000058</v>
      </c>
      <c r="Y63" s="14">
        <v>0</v>
      </c>
    </row>
    <row r="64" spans="1:25" ht="12.75">
      <c r="A64" s="5">
        <f t="shared" si="0"/>
        <v>50</v>
      </c>
      <c r="B64" s="7" t="s">
        <v>306</v>
      </c>
      <c r="C64" s="4">
        <f t="shared" si="3"/>
        <v>150</v>
      </c>
      <c r="D64" s="4">
        <f t="shared" si="4"/>
        <v>352</v>
      </c>
      <c r="E64" s="4"/>
      <c r="F64" s="4"/>
      <c r="G64" s="4">
        <f t="shared" si="8"/>
        <v>251</v>
      </c>
      <c r="H64" s="4"/>
      <c r="I64" s="4">
        <f t="shared" si="7"/>
        <v>0</v>
      </c>
      <c r="J64" s="4">
        <f t="shared" si="6"/>
        <v>0</v>
      </c>
      <c r="K64" s="4">
        <f t="shared" si="6"/>
        <v>251</v>
      </c>
      <c r="L64" s="4">
        <f t="shared" si="6"/>
        <v>0</v>
      </c>
      <c r="M64" s="4">
        <f t="shared" si="6"/>
        <v>0</v>
      </c>
      <c r="N64" s="4"/>
      <c r="O64" s="14">
        <v>0</v>
      </c>
      <c r="P64" s="14">
        <v>0</v>
      </c>
      <c r="Q64" s="14">
        <v>150</v>
      </c>
      <c r="R64" s="14">
        <v>0</v>
      </c>
      <c r="S64" s="14">
        <v>0</v>
      </c>
      <c r="T64" s="4"/>
      <c r="U64" s="14">
        <v>0</v>
      </c>
      <c r="V64" s="14">
        <v>0</v>
      </c>
      <c r="W64" s="14">
        <v>352</v>
      </c>
      <c r="X64" s="14">
        <v>0</v>
      </c>
      <c r="Y64" s="14">
        <v>0</v>
      </c>
    </row>
    <row r="65" spans="1:25" ht="12.75">
      <c r="A65" s="5">
        <f t="shared" si="0"/>
        <v>51</v>
      </c>
      <c r="B65" s="7" t="s">
        <v>307</v>
      </c>
      <c r="C65" s="4">
        <f t="shared" si="3"/>
        <v>0</v>
      </c>
      <c r="D65" s="4">
        <f t="shared" si="4"/>
        <v>733</v>
      </c>
      <c r="E65" s="4"/>
      <c r="F65" s="4"/>
      <c r="G65" s="4">
        <f t="shared" si="8"/>
        <v>367</v>
      </c>
      <c r="H65" s="4"/>
      <c r="I65" s="4">
        <f t="shared" si="7"/>
        <v>366.5</v>
      </c>
      <c r="J65" s="4">
        <f t="shared" si="6"/>
        <v>0</v>
      </c>
      <c r="K65" s="4">
        <f t="shared" si="6"/>
        <v>0</v>
      </c>
      <c r="L65" s="4">
        <f t="shared" si="6"/>
        <v>0</v>
      </c>
      <c r="M65" s="4">
        <f t="shared" si="6"/>
        <v>0</v>
      </c>
      <c r="N65" s="4"/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4"/>
      <c r="U65" s="14">
        <v>733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5">
        <f t="shared" si="0"/>
        <v>52</v>
      </c>
      <c r="B66" s="7" t="s">
        <v>308</v>
      </c>
      <c r="C66" s="4">
        <f t="shared" si="3"/>
        <v>0</v>
      </c>
      <c r="D66" s="4">
        <f t="shared" si="4"/>
        <v>0</v>
      </c>
      <c r="E66" s="4"/>
      <c r="F66" s="4"/>
      <c r="G66" s="4">
        <f t="shared" si="8"/>
        <v>0</v>
      </c>
      <c r="H66" s="4"/>
      <c r="I66" s="4">
        <f t="shared" si="7"/>
        <v>0</v>
      </c>
      <c r="J66" s="4">
        <f t="shared" si="6"/>
        <v>0</v>
      </c>
      <c r="K66" s="4">
        <f t="shared" si="6"/>
        <v>0</v>
      </c>
      <c r="L66" s="4">
        <f t="shared" si="6"/>
        <v>0</v>
      </c>
      <c r="M66" s="4">
        <f t="shared" si="6"/>
        <v>0</v>
      </c>
      <c r="N66" s="4"/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4"/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5">
        <f t="shared" si="0"/>
        <v>53</v>
      </c>
      <c r="B67" s="7" t="s">
        <v>309</v>
      </c>
      <c r="C67" s="4">
        <f t="shared" si="3"/>
        <v>0</v>
      </c>
      <c r="D67" s="4">
        <f t="shared" si="4"/>
        <v>0</v>
      </c>
      <c r="E67" s="4"/>
      <c r="F67" s="4"/>
      <c r="G67" s="4">
        <f t="shared" si="8"/>
        <v>0</v>
      </c>
      <c r="H67" s="4"/>
      <c r="I67" s="4">
        <f t="shared" si="7"/>
        <v>0</v>
      </c>
      <c r="J67" s="4">
        <f t="shared" si="6"/>
        <v>0</v>
      </c>
      <c r="K67" s="4">
        <f t="shared" si="6"/>
        <v>0</v>
      </c>
      <c r="L67" s="4">
        <f t="shared" si="6"/>
        <v>0</v>
      </c>
      <c r="M67" s="4">
        <f t="shared" si="6"/>
        <v>0</v>
      </c>
      <c r="N67" s="4"/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4"/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5">
        <f t="shared" si="0"/>
        <v>54</v>
      </c>
      <c r="B68" s="7" t="s">
        <v>310</v>
      </c>
      <c r="C68" s="4">
        <f t="shared" si="3"/>
        <v>0</v>
      </c>
      <c r="D68" s="4">
        <f t="shared" si="4"/>
        <v>-60501</v>
      </c>
      <c r="E68" s="4"/>
      <c r="F68" s="4"/>
      <c r="G68" s="4">
        <f t="shared" si="8"/>
        <v>-30251</v>
      </c>
      <c r="H68" s="4"/>
      <c r="I68" s="4">
        <f t="shared" si="7"/>
        <v>0</v>
      </c>
      <c r="J68" s="4">
        <f t="shared" si="6"/>
        <v>0</v>
      </c>
      <c r="K68" s="4">
        <f t="shared" si="6"/>
        <v>-30250.5</v>
      </c>
      <c r="L68" s="4">
        <f t="shared" si="6"/>
        <v>0</v>
      </c>
      <c r="M68" s="4">
        <f t="shared" si="6"/>
        <v>0</v>
      </c>
      <c r="N68" s="4"/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4"/>
      <c r="U68" s="14">
        <v>0</v>
      </c>
      <c r="V68" s="14">
        <v>0</v>
      </c>
      <c r="W68" s="14">
        <v>-60501</v>
      </c>
      <c r="X68" s="14">
        <v>0</v>
      </c>
      <c r="Y68" s="14">
        <v>0</v>
      </c>
    </row>
    <row r="69" spans="1:25" ht="12.75">
      <c r="A69" s="5">
        <f t="shared" si="0"/>
        <v>55</v>
      </c>
      <c r="B69" s="8" t="s">
        <v>311</v>
      </c>
      <c r="C69" s="4">
        <f t="shared" si="3"/>
        <v>47009</v>
      </c>
      <c r="D69" s="4">
        <f t="shared" si="4"/>
        <v>60440</v>
      </c>
      <c r="E69" s="4"/>
      <c r="F69" s="4"/>
      <c r="G69" s="4">
        <f t="shared" si="8"/>
        <v>53725</v>
      </c>
      <c r="H69" s="4"/>
      <c r="I69" s="4">
        <f t="shared" si="7"/>
        <v>53724.5</v>
      </c>
      <c r="J69" s="4">
        <f t="shared" si="6"/>
        <v>0</v>
      </c>
      <c r="K69" s="4">
        <f t="shared" si="6"/>
        <v>0</v>
      </c>
      <c r="L69" s="4">
        <f t="shared" si="6"/>
        <v>0</v>
      </c>
      <c r="M69" s="4">
        <f t="shared" si="6"/>
        <v>0</v>
      </c>
      <c r="N69" s="4"/>
      <c r="O69" s="14">
        <v>47009</v>
      </c>
      <c r="P69" s="14">
        <v>0</v>
      </c>
      <c r="Q69" s="14">
        <v>0</v>
      </c>
      <c r="R69" s="14">
        <v>0</v>
      </c>
      <c r="S69" s="14">
        <v>0</v>
      </c>
      <c r="T69" s="4"/>
      <c r="U69" s="14">
        <v>60440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5">
        <f t="shared" si="0"/>
        <v>56</v>
      </c>
      <c r="B70" s="8" t="s">
        <v>121</v>
      </c>
      <c r="C70" s="4">
        <f t="shared" si="3"/>
        <v>16618972.6</v>
      </c>
      <c r="D70" s="4">
        <f t="shared" si="4"/>
        <v>18066664.6</v>
      </c>
      <c r="E70" s="4"/>
      <c r="F70" s="4"/>
      <c r="G70" s="4">
        <f t="shared" si="8"/>
        <v>17342819</v>
      </c>
      <c r="H70" s="4"/>
      <c r="I70" s="4">
        <f t="shared" si="7"/>
        <v>5299818.1</v>
      </c>
      <c r="J70" s="4">
        <f t="shared" si="6"/>
        <v>516962</v>
      </c>
      <c r="K70" s="4">
        <f t="shared" si="6"/>
        <v>2107434.75</v>
      </c>
      <c r="L70" s="4">
        <f t="shared" si="6"/>
        <v>9418603.75</v>
      </c>
      <c r="M70" s="4">
        <f t="shared" si="6"/>
        <v>0</v>
      </c>
      <c r="N70" s="4"/>
      <c r="O70" s="14">
        <v>5126253.1</v>
      </c>
      <c r="P70" s="14">
        <v>473228</v>
      </c>
      <c r="Q70" s="14">
        <v>1980993.75</v>
      </c>
      <c r="R70" s="14">
        <v>9038497.75</v>
      </c>
      <c r="S70" s="14">
        <v>0</v>
      </c>
      <c r="T70" s="4"/>
      <c r="U70" s="14">
        <v>5473383.1</v>
      </c>
      <c r="V70" s="14">
        <v>560696</v>
      </c>
      <c r="W70" s="14">
        <v>2233875.75</v>
      </c>
      <c r="X70" s="14">
        <v>9798709.75</v>
      </c>
      <c r="Y70" s="14">
        <v>0</v>
      </c>
    </row>
    <row r="71" spans="1:25" ht="12.75">
      <c r="A71" s="5">
        <f t="shared" si="0"/>
        <v>57</v>
      </c>
      <c r="B71" s="7" t="s">
        <v>120</v>
      </c>
      <c r="C71" s="4">
        <f>SUM(O71:S71)</f>
        <v>132758273.55000001</v>
      </c>
      <c r="D71" s="4">
        <f>SUM(U71:Y71)</f>
        <v>112753818.1</v>
      </c>
      <c r="E71" s="4"/>
      <c r="F71" s="4"/>
      <c r="G71" s="4">
        <f>ROUND(SUM(C71:F71)/2,0)</f>
        <v>122756046</v>
      </c>
      <c r="H71" s="4"/>
      <c r="I71" s="4">
        <f t="shared" si="7"/>
        <v>31088858.675</v>
      </c>
      <c r="J71" s="4">
        <f t="shared" si="6"/>
        <v>91667187.15</v>
      </c>
      <c r="K71" s="4">
        <f t="shared" si="6"/>
        <v>0</v>
      </c>
      <c r="L71" s="4">
        <f t="shared" si="6"/>
        <v>0</v>
      </c>
      <c r="M71" s="4">
        <f t="shared" si="6"/>
        <v>0</v>
      </c>
      <c r="N71" s="4"/>
      <c r="O71" s="14">
        <v>32506005.35</v>
      </c>
      <c r="P71" s="14">
        <v>100252268.2</v>
      </c>
      <c r="Q71" s="14">
        <v>0</v>
      </c>
      <c r="R71" s="14">
        <v>0</v>
      </c>
      <c r="S71" s="14">
        <v>0</v>
      </c>
      <c r="T71" s="4"/>
      <c r="U71" s="14">
        <v>29671712</v>
      </c>
      <c r="V71" s="14">
        <v>83082106.1</v>
      </c>
      <c r="W71" s="14">
        <v>0</v>
      </c>
      <c r="X71" s="14">
        <v>0</v>
      </c>
      <c r="Y71" s="14">
        <v>0</v>
      </c>
    </row>
    <row r="72" spans="1:25" ht="12.75">
      <c r="A72" s="5">
        <f t="shared" si="0"/>
        <v>58</v>
      </c>
      <c r="B72" s="7" t="s">
        <v>119</v>
      </c>
      <c r="C72" s="4">
        <f>SUM(O72:S72)</f>
        <v>36658677.650000006</v>
      </c>
      <c r="D72" s="4">
        <f>SUM(U72:Y72)</f>
        <v>78179359.3</v>
      </c>
      <c r="E72" s="4"/>
      <c r="F72" s="4"/>
      <c r="G72" s="4">
        <f>ROUND(SUM(C72:F72)/2,0)</f>
        <v>57419018</v>
      </c>
      <c r="H72" s="4"/>
      <c r="I72" s="4">
        <f t="shared" si="7"/>
        <v>24414349.575000003</v>
      </c>
      <c r="J72" s="4">
        <f t="shared" si="6"/>
        <v>33004668.9</v>
      </c>
      <c r="K72" s="4">
        <f t="shared" si="6"/>
        <v>0</v>
      </c>
      <c r="L72" s="4">
        <f t="shared" si="6"/>
        <v>0</v>
      </c>
      <c r="M72" s="4">
        <f t="shared" si="6"/>
        <v>0</v>
      </c>
      <c r="N72" s="4"/>
      <c r="O72" s="14">
        <v>20748217.35</v>
      </c>
      <c r="P72" s="14">
        <v>15910460.3</v>
      </c>
      <c r="Q72" s="14">
        <v>0</v>
      </c>
      <c r="R72" s="14">
        <v>0</v>
      </c>
      <c r="S72" s="14">
        <v>0</v>
      </c>
      <c r="T72" s="4"/>
      <c r="U72" s="14">
        <v>28080481.8</v>
      </c>
      <c r="V72" s="14">
        <v>50098877.5</v>
      </c>
      <c r="W72" s="14">
        <v>0</v>
      </c>
      <c r="X72" s="14">
        <v>0</v>
      </c>
      <c r="Y72" s="14">
        <v>0</v>
      </c>
    </row>
    <row r="73" spans="1:25" ht="12.75">
      <c r="A73" s="5">
        <f t="shared" si="0"/>
        <v>59</v>
      </c>
      <c r="B73" s="7" t="s">
        <v>118</v>
      </c>
      <c r="C73" s="4">
        <f>SUM(O73:S73)</f>
        <v>10250109.899999999</v>
      </c>
      <c r="D73" s="4">
        <f>SUM(U73:Y73)</f>
        <v>10174747.9</v>
      </c>
      <c r="E73" s="4"/>
      <c r="F73" s="4"/>
      <c r="G73" s="4">
        <f>ROUND(SUM(C73:F73)/2,0)</f>
        <v>10212429</v>
      </c>
      <c r="H73" s="4"/>
      <c r="I73" s="4">
        <f t="shared" si="7"/>
        <v>0</v>
      </c>
      <c r="J73" s="4">
        <f t="shared" si="6"/>
        <v>0</v>
      </c>
      <c r="K73" s="4">
        <f t="shared" si="6"/>
        <v>220249.24999999997</v>
      </c>
      <c r="L73" s="4">
        <f t="shared" si="6"/>
        <v>9992179.649999999</v>
      </c>
      <c r="M73" s="4">
        <f t="shared" si="6"/>
        <v>0</v>
      </c>
      <c r="N73" s="4"/>
      <c r="O73" s="14">
        <v>0</v>
      </c>
      <c r="P73" s="14">
        <v>0</v>
      </c>
      <c r="Q73" s="14">
        <v>393768.19999999995</v>
      </c>
      <c r="R73" s="14">
        <v>9856341.7</v>
      </c>
      <c r="S73" s="14">
        <v>0</v>
      </c>
      <c r="T73" s="4"/>
      <c r="U73" s="14">
        <v>0</v>
      </c>
      <c r="V73" s="14">
        <v>0</v>
      </c>
      <c r="W73" s="14">
        <v>46730.29999999999</v>
      </c>
      <c r="X73" s="14">
        <v>10128017.6</v>
      </c>
      <c r="Y73" s="14">
        <v>0</v>
      </c>
    </row>
    <row r="74" spans="1:25" ht="12.75">
      <c r="A74" s="5">
        <f t="shared" si="0"/>
        <v>60</v>
      </c>
      <c r="B74" s="8" t="s">
        <v>312</v>
      </c>
      <c r="C74" s="4">
        <f t="shared" si="3"/>
        <v>381115</v>
      </c>
      <c r="D74" s="4">
        <f t="shared" si="4"/>
        <v>381115</v>
      </c>
      <c r="E74" s="4"/>
      <c r="F74" s="4"/>
      <c r="G74" s="4">
        <f t="shared" si="8"/>
        <v>381115</v>
      </c>
      <c r="H74" s="4"/>
      <c r="I74" s="4">
        <f t="shared" si="7"/>
        <v>381115</v>
      </c>
      <c r="J74" s="4">
        <f t="shared" si="6"/>
        <v>0</v>
      </c>
      <c r="K74" s="4">
        <f t="shared" si="6"/>
        <v>0</v>
      </c>
      <c r="L74" s="4">
        <f t="shared" si="6"/>
        <v>0</v>
      </c>
      <c r="M74" s="4">
        <f t="shared" si="6"/>
        <v>0</v>
      </c>
      <c r="N74" s="4"/>
      <c r="O74" s="14">
        <v>381115</v>
      </c>
      <c r="P74" s="14">
        <v>0</v>
      </c>
      <c r="Q74" s="14">
        <v>0</v>
      </c>
      <c r="R74" s="14">
        <v>0</v>
      </c>
      <c r="S74" s="14">
        <v>0</v>
      </c>
      <c r="T74" s="4"/>
      <c r="U74" s="14">
        <v>381115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5">
        <f t="shared" si="0"/>
        <v>61</v>
      </c>
      <c r="B75" s="8" t="s">
        <v>313</v>
      </c>
      <c r="C75" s="4">
        <f t="shared" si="3"/>
        <v>31632</v>
      </c>
      <c r="D75" s="4">
        <f t="shared" si="4"/>
        <v>31632</v>
      </c>
      <c r="E75" s="4"/>
      <c r="F75" s="4"/>
      <c r="G75" s="4">
        <f t="shared" si="8"/>
        <v>31632</v>
      </c>
      <c r="H75" s="4"/>
      <c r="I75" s="4">
        <f t="shared" si="7"/>
        <v>31632</v>
      </c>
      <c r="J75" s="4">
        <f t="shared" si="6"/>
        <v>0</v>
      </c>
      <c r="K75" s="4">
        <f t="shared" si="6"/>
        <v>0</v>
      </c>
      <c r="L75" s="4">
        <f t="shared" si="6"/>
        <v>0</v>
      </c>
      <c r="M75" s="4">
        <f t="shared" si="6"/>
        <v>0</v>
      </c>
      <c r="N75" s="4"/>
      <c r="O75" s="14">
        <v>31632</v>
      </c>
      <c r="P75" s="14">
        <v>0</v>
      </c>
      <c r="Q75" s="14">
        <v>0</v>
      </c>
      <c r="R75" s="14">
        <v>0</v>
      </c>
      <c r="S75" s="14">
        <v>0</v>
      </c>
      <c r="T75" s="4"/>
      <c r="U75" s="14">
        <v>31632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5">
        <f t="shared" si="0"/>
        <v>62</v>
      </c>
      <c r="B76" s="7" t="s">
        <v>113</v>
      </c>
      <c r="C76" s="4">
        <f>SUM(O76:S76)</f>
        <v>0</v>
      </c>
      <c r="D76" s="4">
        <f>SUM(U76:Y76)</f>
        <v>0</v>
      </c>
      <c r="E76" s="4"/>
      <c r="F76" s="4"/>
      <c r="G76" s="4">
        <f>ROUND(SUM(C76:F76)/2,0)</f>
        <v>0</v>
      </c>
      <c r="H76" s="4"/>
      <c r="I76" s="4">
        <f t="shared" si="7"/>
        <v>0</v>
      </c>
      <c r="J76" s="4">
        <f t="shared" si="6"/>
        <v>0</v>
      </c>
      <c r="K76" s="4">
        <f t="shared" si="6"/>
        <v>0</v>
      </c>
      <c r="L76" s="4">
        <f t="shared" si="6"/>
        <v>0</v>
      </c>
      <c r="M76" s="4">
        <f t="shared" si="6"/>
        <v>0</v>
      </c>
      <c r="N76" s="4"/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4"/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12.75">
      <c r="A77" s="5">
        <f t="shared" si="0"/>
        <v>63</v>
      </c>
      <c r="B77" s="8" t="s">
        <v>112</v>
      </c>
      <c r="C77" s="4">
        <f t="shared" si="3"/>
        <v>0.15000000002328306</v>
      </c>
      <c r="D77" s="4">
        <f t="shared" si="4"/>
        <v>2331.240000000049</v>
      </c>
      <c r="E77" s="4"/>
      <c r="F77" s="4"/>
      <c r="G77" s="4">
        <f t="shared" si="8"/>
        <v>1166</v>
      </c>
      <c r="H77" s="4"/>
      <c r="I77" s="4">
        <f t="shared" si="7"/>
        <v>251</v>
      </c>
      <c r="J77" s="4">
        <f t="shared" si="6"/>
        <v>2.5</v>
      </c>
      <c r="K77" s="4">
        <f t="shared" si="6"/>
        <v>434.1500000000233</v>
      </c>
      <c r="L77" s="4">
        <f t="shared" si="6"/>
        <v>478.0450000000128</v>
      </c>
      <c r="M77" s="4">
        <f t="shared" si="6"/>
        <v>0</v>
      </c>
      <c r="N77" s="4"/>
      <c r="O77" s="14">
        <v>0</v>
      </c>
      <c r="P77" s="14">
        <v>0</v>
      </c>
      <c r="Q77" s="14">
        <v>0.15000000002328306</v>
      </c>
      <c r="R77" s="14">
        <v>0</v>
      </c>
      <c r="S77" s="14">
        <v>0</v>
      </c>
      <c r="T77" s="4"/>
      <c r="U77" s="14">
        <v>502</v>
      </c>
      <c r="V77" s="14">
        <v>5</v>
      </c>
      <c r="W77" s="14">
        <v>868.1500000000233</v>
      </c>
      <c r="X77" s="14">
        <v>956.0900000000256</v>
      </c>
      <c r="Y77" s="14">
        <v>0</v>
      </c>
    </row>
    <row r="78" spans="1:25" ht="12.75">
      <c r="A78" s="5">
        <f t="shared" si="0"/>
        <v>64</v>
      </c>
      <c r="B78" s="8" t="s">
        <v>314</v>
      </c>
      <c r="C78" s="4">
        <f t="shared" si="3"/>
        <v>0</v>
      </c>
      <c r="D78" s="4">
        <f t="shared" si="4"/>
        <v>0</v>
      </c>
      <c r="E78" s="4"/>
      <c r="F78" s="4"/>
      <c r="G78" s="4">
        <f t="shared" si="8"/>
        <v>0</v>
      </c>
      <c r="H78" s="4"/>
      <c r="I78" s="4">
        <f t="shared" si="7"/>
        <v>0</v>
      </c>
      <c r="J78" s="4">
        <f t="shared" si="6"/>
        <v>0</v>
      </c>
      <c r="K78" s="4">
        <f t="shared" si="6"/>
        <v>0</v>
      </c>
      <c r="L78" s="4">
        <f t="shared" si="6"/>
        <v>0</v>
      </c>
      <c r="M78" s="4">
        <f t="shared" si="6"/>
        <v>0</v>
      </c>
      <c r="N78" s="4"/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4"/>
      <c r="U78" s="14">
        <v>0</v>
      </c>
      <c r="V78" s="14">
        <v>0</v>
      </c>
      <c r="W78" s="14">
        <v>0</v>
      </c>
      <c r="X78" s="14">
        <v>0</v>
      </c>
      <c r="Y78" s="14">
        <v>0</v>
      </c>
    </row>
    <row r="79" spans="1:25" ht="12.75">
      <c r="A79" s="5">
        <f t="shared" si="0"/>
        <v>65</v>
      </c>
      <c r="B79" s="8" t="s">
        <v>315</v>
      </c>
      <c r="C79" s="4">
        <f t="shared" si="3"/>
        <v>3150489</v>
      </c>
      <c r="D79" s="4">
        <f t="shared" si="4"/>
        <v>3513024</v>
      </c>
      <c r="E79" s="4"/>
      <c r="F79" s="4"/>
      <c r="G79" s="4">
        <f t="shared" si="8"/>
        <v>3331757</v>
      </c>
      <c r="H79" s="4"/>
      <c r="I79" s="4">
        <f t="shared" si="7"/>
        <v>0</v>
      </c>
      <c r="J79" s="4">
        <f t="shared" si="6"/>
        <v>3331756.5</v>
      </c>
      <c r="K79" s="4">
        <f t="shared" si="6"/>
        <v>0</v>
      </c>
      <c r="L79" s="4">
        <f t="shared" si="6"/>
        <v>0</v>
      </c>
      <c r="M79" s="4">
        <f t="shared" si="6"/>
        <v>0</v>
      </c>
      <c r="N79" s="4"/>
      <c r="O79" s="14">
        <v>0</v>
      </c>
      <c r="P79" s="14">
        <v>3150489</v>
      </c>
      <c r="Q79" s="14">
        <v>0</v>
      </c>
      <c r="R79" s="14">
        <v>0</v>
      </c>
      <c r="S79" s="14">
        <v>0</v>
      </c>
      <c r="T79" s="4"/>
      <c r="U79" s="14">
        <v>0</v>
      </c>
      <c r="V79" s="14">
        <v>3513024</v>
      </c>
      <c r="W79" s="14">
        <v>0</v>
      </c>
      <c r="X79" s="14">
        <v>0</v>
      </c>
      <c r="Y79" s="14">
        <v>0</v>
      </c>
    </row>
    <row r="80" spans="1:25" ht="12.75">
      <c r="A80" s="5">
        <f aca="true" t="shared" si="9" ref="A80:A143">A79+1</f>
        <v>66</v>
      </c>
      <c r="B80" s="8" t="s">
        <v>16</v>
      </c>
      <c r="C80" s="9">
        <v>887799.37</v>
      </c>
      <c r="D80" s="9">
        <v>817867.62</v>
      </c>
      <c r="E80" s="4">
        <f aca="true" t="shared" si="10" ref="E80:F82">-C80</f>
        <v>-887799.37</v>
      </c>
      <c r="F80" s="4">
        <f t="shared" si="10"/>
        <v>-817867.62</v>
      </c>
      <c r="G80" s="4">
        <f t="shared" si="8"/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>
      <c r="A81" s="5">
        <f t="shared" si="9"/>
        <v>67</v>
      </c>
      <c r="B81" s="8" t="s">
        <v>105</v>
      </c>
      <c r="C81" s="9">
        <v>90827657.47</v>
      </c>
      <c r="D81" s="9">
        <v>88062043.15</v>
      </c>
      <c r="E81" s="4">
        <f t="shared" si="10"/>
        <v>-90827657.47</v>
      </c>
      <c r="F81" s="4">
        <f t="shared" si="10"/>
        <v>-88062043.15</v>
      </c>
      <c r="G81" s="4">
        <f t="shared" si="8"/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5">
        <f t="shared" si="9"/>
        <v>68</v>
      </c>
      <c r="B82" s="8" t="s">
        <v>104</v>
      </c>
      <c r="C82" s="9">
        <v>-1549623</v>
      </c>
      <c r="D82" s="9">
        <v>-1953844</v>
      </c>
      <c r="E82" s="4">
        <f t="shared" si="10"/>
        <v>1549623</v>
      </c>
      <c r="F82" s="4">
        <f t="shared" si="10"/>
        <v>1953844</v>
      </c>
      <c r="G82" s="4">
        <f t="shared" si="8"/>
        <v>0</v>
      </c>
      <c r="H82" s="4"/>
      <c r="I82" s="4"/>
      <c r="J82" s="4"/>
      <c r="K82" s="4"/>
      <c r="L82" s="4"/>
      <c r="M82" s="4"/>
      <c r="N82" s="4"/>
      <c r="O82" s="11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5">
        <f t="shared" si="9"/>
        <v>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thickBot="1">
      <c r="A84" s="5">
        <f t="shared" si="9"/>
        <v>70</v>
      </c>
      <c r="B84" s="8" t="s">
        <v>103</v>
      </c>
      <c r="C84" s="6">
        <f>SUM(C28:C83)</f>
        <v>1222740355.2300003</v>
      </c>
      <c r="D84" s="6">
        <f>SUM(D28:D83)</f>
        <v>1173328825.2900002</v>
      </c>
      <c r="E84" s="6">
        <f>SUM(E28:E83)</f>
        <v>-90165833.84</v>
      </c>
      <c r="F84" s="6">
        <f>SUM(F28:F83)</f>
        <v>-86926066.77000001</v>
      </c>
      <c r="G84" s="6">
        <f>SUM(G28:G83)</f>
        <v>1109488643</v>
      </c>
      <c r="H84" s="4"/>
      <c r="I84" s="6">
        <f>SUM(I28:I83)</f>
        <v>187062924.51</v>
      </c>
      <c r="J84" s="6">
        <f>SUM(J28:J83)</f>
        <v>488181859.5749999</v>
      </c>
      <c r="K84" s="6">
        <f>SUM(K28:K83)</f>
        <v>180953915.85500002</v>
      </c>
      <c r="L84" s="6">
        <f>SUM(L28:L83)</f>
        <v>253289940.01500002</v>
      </c>
      <c r="M84" s="6">
        <f>SUM(M28:M83)</f>
        <v>0</v>
      </c>
      <c r="N84" s="4"/>
      <c r="O84" s="6">
        <f>SUM(O28:O83)</f>
        <v>203425333.14</v>
      </c>
      <c r="P84" s="6">
        <f>SUM(P28:P83)</f>
        <v>476285467.14</v>
      </c>
      <c r="Q84" s="6">
        <f>SUM(Q28:Q83)</f>
        <v>188632713.60999995</v>
      </c>
      <c r="R84" s="6">
        <f>SUM(R28:R83)</f>
        <v>264231007.50000003</v>
      </c>
      <c r="S84" s="6">
        <f>SUM(S28:S83)</f>
        <v>0</v>
      </c>
      <c r="T84" s="4"/>
      <c r="U84" s="6">
        <f>SUM(U28:U83)</f>
        <v>170700515.88000003</v>
      </c>
      <c r="V84" s="6">
        <f>SUM(V28:V83)</f>
        <v>500078252.01</v>
      </c>
      <c r="W84" s="6">
        <f>SUM(W28:W83)</f>
        <v>173275118.1</v>
      </c>
      <c r="X84" s="6">
        <f>SUM(X28:X83)</f>
        <v>242348872.53</v>
      </c>
      <c r="Y84" s="6">
        <f>SUM(Y28:Y83)</f>
        <v>0</v>
      </c>
    </row>
    <row r="85" spans="1:25" ht="13.5" thickTop="1">
      <c r="A85" s="5">
        <f t="shared" si="9"/>
        <v>71</v>
      </c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4"/>
      <c r="U85" s="3"/>
      <c r="V85" s="3"/>
      <c r="W85" s="3"/>
      <c r="X85" s="3"/>
      <c r="Y85" s="3"/>
    </row>
    <row r="86" spans="1:25" ht="12.75">
      <c r="A86" s="5">
        <f t="shared" si="9"/>
        <v>72</v>
      </c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5">
        <f t="shared" si="9"/>
        <v>73</v>
      </c>
      <c r="B87" s="7" t="s">
        <v>102</v>
      </c>
      <c r="C87" s="4" t="s">
        <v>101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5">
        <f t="shared" si="9"/>
        <v>74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5">
        <f t="shared" si="9"/>
        <v>75</v>
      </c>
      <c r="B89" s="8" t="s">
        <v>316</v>
      </c>
      <c r="C89" s="4">
        <f aca="true" t="shared" si="11" ref="C89:C110">SUM(O89:S89)</f>
        <v>1433776.75</v>
      </c>
      <c r="D89" s="4">
        <f aca="true" t="shared" si="12" ref="D89:D139">SUM(U89:Y89)</f>
        <v>1377.25</v>
      </c>
      <c r="E89" s="4"/>
      <c r="F89" s="4"/>
      <c r="G89" s="4">
        <f aca="true" t="shared" si="13" ref="G89:G139">ROUND(SUM(C89:F89)/2,0)</f>
        <v>717577</v>
      </c>
      <c r="H89" s="4"/>
      <c r="I89" s="4">
        <f aca="true" t="shared" si="14" ref="I89:M140">(O89+U89)/2</f>
        <v>717577</v>
      </c>
      <c r="J89" s="4">
        <f t="shared" si="14"/>
        <v>0</v>
      </c>
      <c r="K89" s="4">
        <f t="shared" si="14"/>
        <v>0</v>
      </c>
      <c r="L89" s="4">
        <f t="shared" si="14"/>
        <v>0</v>
      </c>
      <c r="M89" s="4">
        <f t="shared" si="14"/>
        <v>0</v>
      </c>
      <c r="N89" s="4"/>
      <c r="O89" s="14">
        <v>1433776.75</v>
      </c>
      <c r="P89" s="14">
        <v>0</v>
      </c>
      <c r="Q89" s="14">
        <v>0</v>
      </c>
      <c r="R89" s="14">
        <v>0</v>
      </c>
      <c r="S89" s="14">
        <v>0</v>
      </c>
      <c r="T89" s="4"/>
      <c r="U89" s="14">
        <v>1377.25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5">
        <f t="shared" si="9"/>
        <v>76</v>
      </c>
      <c r="B90" s="8" t="s">
        <v>317</v>
      </c>
      <c r="C90" s="4">
        <f t="shared" si="11"/>
        <v>2523343.68</v>
      </c>
      <c r="D90" s="4">
        <f t="shared" si="12"/>
        <v>374606.13</v>
      </c>
      <c r="E90" s="4"/>
      <c r="F90" s="4"/>
      <c r="G90" s="4">
        <f t="shared" si="13"/>
        <v>1448975</v>
      </c>
      <c r="H90" s="4"/>
      <c r="I90" s="4">
        <f t="shared" si="14"/>
        <v>1448974.905</v>
      </c>
      <c r="J90" s="4">
        <f t="shared" si="14"/>
        <v>0</v>
      </c>
      <c r="K90" s="4">
        <f t="shared" si="14"/>
        <v>0</v>
      </c>
      <c r="L90" s="4">
        <f t="shared" si="14"/>
        <v>0</v>
      </c>
      <c r="M90" s="4">
        <f t="shared" si="14"/>
        <v>0</v>
      </c>
      <c r="N90" s="4"/>
      <c r="O90" s="14">
        <v>2523343.68</v>
      </c>
      <c r="P90" s="14">
        <v>0</v>
      </c>
      <c r="Q90" s="14">
        <v>0</v>
      </c>
      <c r="R90" s="14">
        <v>0</v>
      </c>
      <c r="S90" s="14">
        <v>0</v>
      </c>
      <c r="T90" s="4"/>
      <c r="U90" s="14">
        <v>374606.13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5">
        <f t="shared" si="9"/>
        <v>77</v>
      </c>
      <c r="B91" s="8" t="s">
        <v>318</v>
      </c>
      <c r="C91" s="4">
        <f t="shared" si="11"/>
        <v>0</v>
      </c>
      <c r="D91" s="4">
        <f t="shared" si="12"/>
        <v>0</v>
      </c>
      <c r="E91" s="4"/>
      <c r="F91" s="4"/>
      <c r="G91" s="4">
        <f t="shared" si="13"/>
        <v>0</v>
      </c>
      <c r="H91" s="4"/>
      <c r="I91" s="4">
        <f t="shared" si="14"/>
        <v>0</v>
      </c>
      <c r="J91" s="4">
        <f t="shared" si="14"/>
        <v>0</v>
      </c>
      <c r="K91" s="4">
        <f t="shared" si="14"/>
        <v>0</v>
      </c>
      <c r="L91" s="4">
        <f t="shared" si="14"/>
        <v>0</v>
      </c>
      <c r="M91" s="4">
        <f t="shared" si="14"/>
        <v>0</v>
      </c>
      <c r="N91" s="4"/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4"/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5">
        <f t="shared" si="9"/>
        <v>78</v>
      </c>
      <c r="B92" s="7" t="s">
        <v>319</v>
      </c>
      <c r="C92" s="4">
        <f t="shared" si="11"/>
        <v>0</v>
      </c>
      <c r="D92" s="4">
        <f t="shared" si="12"/>
        <v>0</v>
      </c>
      <c r="E92" s="4"/>
      <c r="F92" s="4"/>
      <c r="G92" s="4">
        <f t="shared" si="13"/>
        <v>0</v>
      </c>
      <c r="H92" s="4"/>
      <c r="I92" s="4">
        <f t="shared" si="14"/>
        <v>0</v>
      </c>
      <c r="J92" s="4">
        <f t="shared" si="14"/>
        <v>0</v>
      </c>
      <c r="K92" s="4">
        <f t="shared" si="14"/>
        <v>0</v>
      </c>
      <c r="L92" s="4">
        <f t="shared" si="14"/>
        <v>0</v>
      </c>
      <c r="M92" s="4">
        <f t="shared" si="14"/>
        <v>0</v>
      </c>
      <c r="N92" s="4"/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4"/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5">
        <f t="shared" si="9"/>
        <v>79</v>
      </c>
      <c r="B93" s="8" t="s">
        <v>320</v>
      </c>
      <c r="C93" s="4">
        <f t="shared" si="11"/>
        <v>264098.57</v>
      </c>
      <c r="D93" s="4">
        <f t="shared" si="12"/>
        <v>270681.64</v>
      </c>
      <c r="E93" s="4"/>
      <c r="F93" s="4"/>
      <c r="G93" s="4">
        <f t="shared" si="13"/>
        <v>267390</v>
      </c>
      <c r="H93" s="4"/>
      <c r="I93" s="4">
        <f t="shared" si="14"/>
        <v>267390.105</v>
      </c>
      <c r="J93" s="4">
        <f t="shared" si="14"/>
        <v>0</v>
      </c>
      <c r="K93" s="4">
        <f t="shared" si="14"/>
        <v>0</v>
      </c>
      <c r="L93" s="4">
        <f t="shared" si="14"/>
        <v>0</v>
      </c>
      <c r="M93" s="4">
        <f t="shared" si="14"/>
        <v>0</v>
      </c>
      <c r="N93" s="4"/>
      <c r="O93" s="14">
        <v>264098.57</v>
      </c>
      <c r="P93" s="14">
        <v>0</v>
      </c>
      <c r="Q93" s="14">
        <v>0</v>
      </c>
      <c r="R93" s="14">
        <v>0</v>
      </c>
      <c r="S93" s="14">
        <v>0</v>
      </c>
      <c r="T93" s="4"/>
      <c r="U93" s="14">
        <v>270681.64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5">
        <f t="shared" si="9"/>
        <v>80</v>
      </c>
      <c r="B94" s="8" t="s">
        <v>321</v>
      </c>
      <c r="C94" s="4">
        <f>SUM(O94:S94)</f>
        <v>187505.06</v>
      </c>
      <c r="D94" s="4">
        <f t="shared" si="12"/>
        <v>24424.77</v>
      </c>
      <c r="E94" s="4"/>
      <c r="F94" s="4"/>
      <c r="G94" s="4">
        <f t="shared" si="13"/>
        <v>105965</v>
      </c>
      <c r="H94" s="4"/>
      <c r="I94" s="4">
        <f t="shared" si="14"/>
        <v>105964.915</v>
      </c>
      <c r="J94" s="4">
        <f t="shared" si="14"/>
        <v>0</v>
      </c>
      <c r="K94" s="4">
        <f t="shared" si="14"/>
        <v>0</v>
      </c>
      <c r="L94" s="4">
        <f t="shared" si="14"/>
        <v>0</v>
      </c>
      <c r="M94" s="4">
        <f t="shared" si="14"/>
        <v>0</v>
      </c>
      <c r="N94" s="4"/>
      <c r="O94" s="14">
        <v>187505.06</v>
      </c>
      <c r="P94" s="14">
        <v>0</v>
      </c>
      <c r="Q94" s="14">
        <v>0</v>
      </c>
      <c r="R94" s="14">
        <v>0</v>
      </c>
      <c r="S94" s="14">
        <v>0</v>
      </c>
      <c r="T94" s="4"/>
      <c r="U94" s="14">
        <v>24424.77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5">
        <f t="shared" si="9"/>
        <v>81</v>
      </c>
      <c r="B95" s="8" t="s">
        <v>322</v>
      </c>
      <c r="C95" s="4">
        <f>SUM(O95:S95)</f>
        <v>33875.94</v>
      </c>
      <c r="D95" s="4">
        <f t="shared" si="12"/>
        <v>0</v>
      </c>
      <c r="E95" s="4"/>
      <c r="F95" s="4"/>
      <c r="G95" s="4">
        <f t="shared" si="13"/>
        <v>16938</v>
      </c>
      <c r="H95" s="4"/>
      <c r="I95" s="4">
        <f t="shared" si="14"/>
        <v>16937.97</v>
      </c>
      <c r="J95" s="4">
        <f t="shared" si="14"/>
        <v>0</v>
      </c>
      <c r="K95" s="4">
        <f t="shared" si="14"/>
        <v>0</v>
      </c>
      <c r="L95" s="4">
        <f t="shared" si="14"/>
        <v>0</v>
      </c>
      <c r="M95" s="4">
        <f t="shared" si="14"/>
        <v>0</v>
      </c>
      <c r="N95" s="4"/>
      <c r="O95" s="14">
        <v>33875.94</v>
      </c>
      <c r="P95" s="14">
        <v>0</v>
      </c>
      <c r="Q95" s="14">
        <v>0</v>
      </c>
      <c r="R95" s="14">
        <v>0</v>
      </c>
      <c r="S95" s="14">
        <v>0</v>
      </c>
      <c r="T95" s="4"/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5">
        <f t="shared" si="9"/>
        <v>82</v>
      </c>
      <c r="B96" s="8" t="s">
        <v>89</v>
      </c>
      <c r="C96" s="4">
        <f t="shared" si="11"/>
        <v>2367325.1</v>
      </c>
      <c r="D96" s="4">
        <f t="shared" si="12"/>
        <v>9296471.45</v>
      </c>
      <c r="E96" s="4"/>
      <c r="F96" s="4"/>
      <c r="G96" s="4">
        <f t="shared" si="13"/>
        <v>5831898</v>
      </c>
      <c r="H96" s="4"/>
      <c r="I96" s="4">
        <f t="shared" si="14"/>
        <v>5831898.274999999</v>
      </c>
      <c r="J96" s="4">
        <f t="shared" si="14"/>
        <v>0</v>
      </c>
      <c r="K96" s="4">
        <f t="shared" si="14"/>
        <v>0</v>
      </c>
      <c r="L96" s="4">
        <f t="shared" si="14"/>
        <v>0</v>
      </c>
      <c r="M96" s="4">
        <f t="shared" si="14"/>
        <v>0</v>
      </c>
      <c r="N96" s="4"/>
      <c r="O96" s="14">
        <v>2367325.1</v>
      </c>
      <c r="P96" s="14">
        <v>0</v>
      </c>
      <c r="Q96" s="14">
        <v>0</v>
      </c>
      <c r="R96" s="14">
        <v>0</v>
      </c>
      <c r="S96" s="14">
        <v>0</v>
      </c>
      <c r="T96" s="4"/>
      <c r="U96" s="14">
        <v>9296471.45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5">
        <f t="shared" si="9"/>
        <v>83</v>
      </c>
      <c r="B97" s="7" t="s">
        <v>88</v>
      </c>
      <c r="C97" s="4">
        <f t="shared" si="11"/>
        <v>-460765.2</v>
      </c>
      <c r="D97" s="4">
        <f t="shared" si="12"/>
        <v>-460765.2</v>
      </c>
      <c r="E97" s="4"/>
      <c r="F97" s="4"/>
      <c r="G97" s="4">
        <f t="shared" si="13"/>
        <v>-460765</v>
      </c>
      <c r="H97" s="4"/>
      <c r="I97" s="4">
        <f t="shared" si="14"/>
        <v>-460765.2</v>
      </c>
      <c r="J97" s="4">
        <f t="shared" si="14"/>
        <v>0</v>
      </c>
      <c r="K97" s="4">
        <f t="shared" si="14"/>
        <v>0</v>
      </c>
      <c r="L97" s="4">
        <f t="shared" si="14"/>
        <v>0</v>
      </c>
      <c r="M97" s="4">
        <f t="shared" si="14"/>
        <v>0</v>
      </c>
      <c r="N97" s="4"/>
      <c r="O97" s="14">
        <v>-460765.2</v>
      </c>
      <c r="P97" s="14">
        <v>0</v>
      </c>
      <c r="Q97" s="14">
        <v>0</v>
      </c>
      <c r="R97" s="14">
        <v>0</v>
      </c>
      <c r="S97" s="14">
        <v>0</v>
      </c>
      <c r="T97" s="4"/>
      <c r="U97" s="14">
        <v>-460765.2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5">
        <f t="shared" si="9"/>
        <v>84</v>
      </c>
      <c r="B98" s="8" t="s">
        <v>323</v>
      </c>
      <c r="C98" s="4">
        <f t="shared" si="11"/>
        <v>0</v>
      </c>
      <c r="D98" s="4">
        <f t="shared" si="12"/>
        <v>0</v>
      </c>
      <c r="E98" s="4"/>
      <c r="F98" s="4"/>
      <c r="G98" s="4">
        <f t="shared" si="13"/>
        <v>0</v>
      </c>
      <c r="H98" s="4"/>
      <c r="I98" s="4">
        <f t="shared" si="14"/>
        <v>0</v>
      </c>
      <c r="J98" s="4">
        <f t="shared" si="14"/>
        <v>0</v>
      </c>
      <c r="K98" s="4">
        <f t="shared" si="14"/>
        <v>0</v>
      </c>
      <c r="L98" s="4">
        <f t="shared" si="14"/>
        <v>0</v>
      </c>
      <c r="M98" s="4">
        <f t="shared" si="14"/>
        <v>0</v>
      </c>
      <c r="N98" s="4"/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4"/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5">
        <f t="shared" si="9"/>
        <v>85</v>
      </c>
      <c r="B99" s="7" t="s">
        <v>84</v>
      </c>
      <c r="C99" s="4">
        <f t="shared" si="11"/>
        <v>-0.01</v>
      </c>
      <c r="D99" s="4">
        <f t="shared" si="12"/>
        <v>53337.16</v>
      </c>
      <c r="E99" s="4"/>
      <c r="F99" s="4"/>
      <c r="G99" s="4">
        <f t="shared" si="13"/>
        <v>26669</v>
      </c>
      <c r="H99" s="4"/>
      <c r="I99" s="4">
        <f t="shared" si="14"/>
        <v>26668.575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/>
      <c r="O99" s="14">
        <v>-0.01</v>
      </c>
      <c r="P99" s="14">
        <v>0</v>
      </c>
      <c r="Q99" s="14">
        <v>0</v>
      </c>
      <c r="R99" s="14">
        <v>0</v>
      </c>
      <c r="S99" s="14">
        <v>0</v>
      </c>
      <c r="T99" s="4"/>
      <c r="U99" s="14">
        <v>53337.16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5">
        <f t="shared" si="9"/>
        <v>86</v>
      </c>
      <c r="B100" s="7" t="s">
        <v>324</v>
      </c>
      <c r="C100" s="4">
        <f>SUM(O100:S100)</f>
        <v>2993633.34</v>
      </c>
      <c r="D100" s="4">
        <f>SUM(U100:Y100)</f>
        <v>3313740.12</v>
      </c>
      <c r="E100" s="4"/>
      <c r="F100" s="4"/>
      <c r="G100" s="4">
        <f>ROUND(SUM(C100:F100)/2,0)</f>
        <v>3153687</v>
      </c>
      <c r="H100" s="4"/>
      <c r="I100" s="4">
        <f>(O100+U100)/2</f>
        <v>0</v>
      </c>
      <c r="J100" s="4">
        <f>(P100+V100)/2</f>
        <v>0</v>
      </c>
      <c r="K100" s="4">
        <f>(Q100+W100)/2</f>
        <v>0</v>
      </c>
      <c r="L100" s="4">
        <f>(R100+X100)/2</f>
        <v>3153686.73</v>
      </c>
      <c r="M100" s="4">
        <f>(S100+Y100)/2</f>
        <v>0</v>
      </c>
      <c r="N100" s="4"/>
      <c r="O100" s="14">
        <v>0</v>
      </c>
      <c r="P100" s="14">
        <v>0</v>
      </c>
      <c r="Q100" s="14">
        <v>0</v>
      </c>
      <c r="R100" s="14">
        <v>2993633.34</v>
      </c>
      <c r="S100" s="14">
        <v>0</v>
      </c>
      <c r="T100" s="4"/>
      <c r="U100" s="14">
        <v>0</v>
      </c>
      <c r="V100" s="14">
        <v>0</v>
      </c>
      <c r="W100" s="14">
        <v>0</v>
      </c>
      <c r="X100" s="14">
        <v>3313740.12</v>
      </c>
      <c r="Y100" s="14">
        <v>0</v>
      </c>
    </row>
    <row r="101" spans="1:25" ht="12.75">
      <c r="A101" s="5">
        <f t="shared" si="9"/>
        <v>87</v>
      </c>
      <c r="B101" s="7" t="s">
        <v>85</v>
      </c>
      <c r="C101" s="4">
        <f t="shared" si="11"/>
        <v>418150.06</v>
      </c>
      <c r="D101" s="4">
        <f t="shared" si="12"/>
        <v>503996.83</v>
      </c>
      <c r="E101" s="4"/>
      <c r="F101" s="4"/>
      <c r="G101" s="4">
        <f t="shared" si="13"/>
        <v>461073</v>
      </c>
      <c r="H101" s="4"/>
      <c r="I101" s="4">
        <f t="shared" si="14"/>
        <v>0</v>
      </c>
      <c r="J101" s="4">
        <f t="shared" si="14"/>
        <v>0</v>
      </c>
      <c r="K101" s="4">
        <f t="shared" si="14"/>
        <v>461073.445</v>
      </c>
      <c r="L101" s="4">
        <f t="shared" si="14"/>
        <v>0</v>
      </c>
      <c r="M101" s="4">
        <f t="shared" si="14"/>
        <v>0</v>
      </c>
      <c r="N101" s="4"/>
      <c r="O101" s="14">
        <v>0</v>
      </c>
      <c r="P101" s="14">
        <v>0</v>
      </c>
      <c r="Q101" s="14">
        <v>418150.06</v>
      </c>
      <c r="R101" s="14">
        <v>0</v>
      </c>
      <c r="S101" s="14">
        <v>0</v>
      </c>
      <c r="T101" s="4"/>
      <c r="U101" s="14">
        <v>0</v>
      </c>
      <c r="V101" s="14">
        <v>0</v>
      </c>
      <c r="W101" s="14">
        <v>503996.83</v>
      </c>
      <c r="X101" s="14">
        <v>0</v>
      </c>
      <c r="Y101" s="14">
        <v>0</v>
      </c>
    </row>
    <row r="102" spans="1:25" ht="12.75">
      <c r="A102" s="5">
        <f t="shared" si="9"/>
        <v>88</v>
      </c>
      <c r="B102" s="7" t="s">
        <v>80</v>
      </c>
      <c r="C102" s="4">
        <f>SUM(O102:S102)</f>
        <v>616806.3</v>
      </c>
      <c r="D102" s="4">
        <f>SUM(U102:Y102)</f>
        <v>375990.01</v>
      </c>
      <c r="E102" s="4"/>
      <c r="F102" s="4"/>
      <c r="G102" s="4">
        <f t="shared" si="13"/>
        <v>496398</v>
      </c>
      <c r="H102" s="4"/>
      <c r="I102" s="4">
        <f t="shared" si="14"/>
        <v>0</v>
      </c>
      <c r="J102" s="4">
        <f t="shared" si="14"/>
        <v>0</v>
      </c>
      <c r="K102" s="4">
        <f t="shared" si="14"/>
        <v>0</v>
      </c>
      <c r="L102" s="4">
        <f t="shared" si="14"/>
        <v>496398.155</v>
      </c>
      <c r="M102" s="4">
        <f t="shared" si="14"/>
        <v>0</v>
      </c>
      <c r="N102" s="4"/>
      <c r="O102" s="14">
        <v>0</v>
      </c>
      <c r="P102" s="14">
        <v>0</v>
      </c>
      <c r="Q102" s="14">
        <v>0</v>
      </c>
      <c r="R102" s="14">
        <v>616806.3</v>
      </c>
      <c r="S102" s="14">
        <v>0</v>
      </c>
      <c r="T102" s="4"/>
      <c r="U102" s="14">
        <v>0</v>
      </c>
      <c r="V102" s="14">
        <v>0</v>
      </c>
      <c r="W102" s="14">
        <v>0</v>
      </c>
      <c r="X102" s="14">
        <v>375990.01</v>
      </c>
      <c r="Y102" s="14">
        <v>0</v>
      </c>
    </row>
    <row r="103" spans="1:25" ht="12.75">
      <c r="A103" s="5">
        <f t="shared" si="9"/>
        <v>89</v>
      </c>
      <c r="B103" s="7" t="s">
        <v>79</v>
      </c>
      <c r="C103" s="4">
        <f t="shared" si="11"/>
        <v>-8819.259999999998</v>
      </c>
      <c r="D103" s="4">
        <f t="shared" si="12"/>
        <v>100053.97</v>
      </c>
      <c r="E103" s="4"/>
      <c r="F103" s="4"/>
      <c r="G103" s="4">
        <f t="shared" si="13"/>
        <v>45617</v>
      </c>
      <c r="H103" s="4"/>
      <c r="I103" s="4">
        <f t="shared" si="14"/>
        <v>-28421.059999999998</v>
      </c>
      <c r="J103" s="4">
        <f t="shared" si="14"/>
        <v>407.91999999999996</v>
      </c>
      <c r="K103" s="4">
        <f t="shared" si="14"/>
        <v>771.885</v>
      </c>
      <c r="L103" s="4">
        <f t="shared" si="14"/>
        <v>72858.61</v>
      </c>
      <c r="M103" s="4">
        <f t="shared" si="14"/>
        <v>0</v>
      </c>
      <c r="N103" s="4"/>
      <c r="O103" s="14">
        <v>-28429.64</v>
      </c>
      <c r="P103" s="14">
        <v>387.34</v>
      </c>
      <c r="Q103" s="14">
        <v>761.18</v>
      </c>
      <c r="R103" s="14">
        <v>18461.86</v>
      </c>
      <c r="S103" s="14">
        <v>0</v>
      </c>
      <c r="T103" s="4"/>
      <c r="U103" s="14">
        <v>-28412.48</v>
      </c>
      <c r="V103" s="14">
        <v>428.5</v>
      </c>
      <c r="W103" s="14">
        <v>782.59</v>
      </c>
      <c r="X103" s="14">
        <v>127255.36</v>
      </c>
      <c r="Y103" s="14">
        <v>0</v>
      </c>
    </row>
    <row r="104" spans="1:25" ht="12.75">
      <c r="A104" s="5">
        <f t="shared" si="9"/>
        <v>90</v>
      </c>
      <c r="B104" s="7" t="s">
        <v>78</v>
      </c>
      <c r="C104" s="4">
        <f t="shared" si="11"/>
        <v>0.05</v>
      </c>
      <c r="D104" s="4">
        <f t="shared" si="12"/>
        <v>0.05</v>
      </c>
      <c r="E104" s="4"/>
      <c r="F104" s="4"/>
      <c r="G104" s="4">
        <f t="shared" si="13"/>
        <v>0</v>
      </c>
      <c r="H104" s="4"/>
      <c r="I104" s="4">
        <f t="shared" si="14"/>
        <v>0</v>
      </c>
      <c r="J104" s="4">
        <f t="shared" si="14"/>
        <v>0</v>
      </c>
      <c r="K104" s="4">
        <f t="shared" si="14"/>
        <v>0</v>
      </c>
      <c r="L104" s="4">
        <f t="shared" si="14"/>
        <v>0.05</v>
      </c>
      <c r="M104" s="4">
        <f t="shared" si="14"/>
        <v>0</v>
      </c>
      <c r="N104" s="4"/>
      <c r="O104" s="14">
        <v>0</v>
      </c>
      <c r="P104" s="14">
        <v>0</v>
      </c>
      <c r="Q104" s="14">
        <v>0</v>
      </c>
      <c r="R104" s="14">
        <v>0.05</v>
      </c>
      <c r="S104" s="14">
        <v>0</v>
      </c>
      <c r="T104" s="4"/>
      <c r="U104" s="14">
        <v>0</v>
      </c>
      <c r="V104" s="14">
        <v>0</v>
      </c>
      <c r="W104" s="14">
        <v>0</v>
      </c>
      <c r="X104" s="14">
        <v>0.05</v>
      </c>
      <c r="Y104" s="14">
        <v>0</v>
      </c>
    </row>
    <row r="105" spans="1:25" ht="12.75">
      <c r="A105" s="5">
        <f t="shared" si="9"/>
        <v>91</v>
      </c>
      <c r="B105" s="7" t="s">
        <v>325</v>
      </c>
      <c r="C105" s="4">
        <f>SUM(O105:S105)</f>
        <v>1351919.49</v>
      </c>
      <c r="D105" s="4">
        <f>SUM(U105:Y105)</f>
        <v>1351919.49</v>
      </c>
      <c r="E105" s="4"/>
      <c r="F105" s="4"/>
      <c r="G105" s="4">
        <f t="shared" si="13"/>
        <v>1351919</v>
      </c>
      <c r="H105" s="4"/>
      <c r="I105" s="4">
        <f t="shared" si="14"/>
        <v>869583.48</v>
      </c>
      <c r="J105" s="4">
        <f t="shared" si="14"/>
        <v>0</v>
      </c>
      <c r="K105" s="4">
        <f t="shared" si="14"/>
        <v>144919.44</v>
      </c>
      <c r="L105" s="4">
        <f t="shared" si="14"/>
        <v>337416.57</v>
      </c>
      <c r="M105" s="4">
        <f t="shared" si="14"/>
        <v>0</v>
      </c>
      <c r="N105" s="4"/>
      <c r="O105" s="14">
        <v>869583.48</v>
      </c>
      <c r="P105" s="14">
        <v>0</v>
      </c>
      <c r="Q105" s="14">
        <v>144919.44</v>
      </c>
      <c r="R105" s="14">
        <v>337416.57</v>
      </c>
      <c r="S105" s="14">
        <v>0</v>
      </c>
      <c r="T105" s="4"/>
      <c r="U105" s="14">
        <v>869583.48</v>
      </c>
      <c r="V105" s="14">
        <v>0</v>
      </c>
      <c r="W105" s="14">
        <v>144919.44</v>
      </c>
      <c r="X105" s="14">
        <v>337416.57</v>
      </c>
      <c r="Y105" s="14">
        <v>0</v>
      </c>
    </row>
    <row r="106" spans="1:25" ht="12.75">
      <c r="A106" s="5">
        <f t="shared" si="9"/>
        <v>92</v>
      </c>
      <c r="B106" s="8" t="s">
        <v>76</v>
      </c>
      <c r="C106" s="4">
        <f t="shared" si="11"/>
        <v>10708450.35</v>
      </c>
      <c r="D106" s="4">
        <f t="shared" si="12"/>
        <v>12132649.7</v>
      </c>
      <c r="E106" s="4"/>
      <c r="F106" s="4"/>
      <c r="G106" s="4">
        <f t="shared" si="13"/>
        <v>11420550</v>
      </c>
      <c r="H106" s="4"/>
      <c r="I106" s="4">
        <f t="shared" si="14"/>
        <v>11420550.024999999</v>
      </c>
      <c r="J106" s="4">
        <f t="shared" si="14"/>
        <v>0</v>
      </c>
      <c r="K106" s="4">
        <f t="shared" si="14"/>
        <v>0</v>
      </c>
      <c r="L106" s="4">
        <f t="shared" si="14"/>
        <v>0</v>
      </c>
      <c r="M106" s="4">
        <f t="shared" si="14"/>
        <v>0</v>
      </c>
      <c r="N106" s="4"/>
      <c r="O106" s="14">
        <v>10708450.35</v>
      </c>
      <c r="P106" s="14">
        <v>0</v>
      </c>
      <c r="Q106" s="14">
        <v>0</v>
      </c>
      <c r="R106" s="14">
        <v>0</v>
      </c>
      <c r="S106" s="14">
        <v>0</v>
      </c>
      <c r="T106" s="4"/>
      <c r="U106" s="14">
        <v>12132649.7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5">
        <f t="shared" si="9"/>
        <v>93</v>
      </c>
      <c r="B107" s="8" t="s">
        <v>75</v>
      </c>
      <c r="C107" s="4">
        <f t="shared" si="11"/>
        <v>4581.15</v>
      </c>
      <c r="D107" s="4">
        <f t="shared" si="12"/>
        <v>4581.15</v>
      </c>
      <c r="E107" s="4"/>
      <c r="F107" s="4"/>
      <c r="G107" s="4">
        <f t="shared" si="13"/>
        <v>4581</v>
      </c>
      <c r="H107" s="4"/>
      <c r="I107" s="4">
        <f t="shared" si="14"/>
        <v>4581.15</v>
      </c>
      <c r="J107" s="4">
        <f t="shared" si="14"/>
        <v>0</v>
      </c>
      <c r="K107" s="4">
        <f t="shared" si="14"/>
        <v>0</v>
      </c>
      <c r="L107" s="4">
        <f t="shared" si="14"/>
        <v>0</v>
      </c>
      <c r="M107" s="4">
        <f t="shared" si="14"/>
        <v>0</v>
      </c>
      <c r="N107" s="4"/>
      <c r="O107" s="14">
        <v>4581.15</v>
      </c>
      <c r="P107" s="14">
        <v>0</v>
      </c>
      <c r="Q107" s="14">
        <v>0</v>
      </c>
      <c r="R107" s="14">
        <v>0</v>
      </c>
      <c r="S107" s="14">
        <v>0</v>
      </c>
      <c r="T107" s="4"/>
      <c r="U107" s="14">
        <v>4581.15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5">
        <f t="shared" si="9"/>
        <v>94</v>
      </c>
      <c r="B108" s="8" t="s">
        <v>74</v>
      </c>
      <c r="C108" s="4">
        <f t="shared" si="11"/>
        <v>179966.7</v>
      </c>
      <c r="D108" s="4">
        <f t="shared" si="12"/>
        <v>179966.7</v>
      </c>
      <c r="E108" s="4"/>
      <c r="F108" s="4"/>
      <c r="G108" s="4">
        <f t="shared" si="13"/>
        <v>179967</v>
      </c>
      <c r="H108" s="4"/>
      <c r="I108" s="4">
        <f t="shared" si="14"/>
        <v>179966.7</v>
      </c>
      <c r="J108" s="4">
        <f t="shared" si="14"/>
        <v>0</v>
      </c>
      <c r="K108" s="4">
        <f t="shared" si="14"/>
        <v>0</v>
      </c>
      <c r="L108" s="4">
        <f t="shared" si="14"/>
        <v>0</v>
      </c>
      <c r="M108" s="4">
        <f t="shared" si="14"/>
        <v>0</v>
      </c>
      <c r="N108" s="4"/>
      <c r="O108" s="14">
        <v>179966.7</v>
      </c>
      <c r="P108" s="14">
        <v>0</v>
      </c>
      <c r="Q108" s="14">
        <v>0</v>
      </c>
      <c r="R108" s="14">
        <v>0</v>
      </c>
      <c r="S108" s="14">
        <v>0</v>
      </c>
      <c r="T108" s="4"/>
      <c r="U108" s="14">
        <v>179966.7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5">
        <f t="shared" si="9"/>
        <v>95</v>
      </c>
      <c r="B109" s="15" t="s">
        <v>70</v>
      </c>
      <c r="C109" s="4">
        <f t="shared" si="11"/>
        <v>165374.65</v>
      </c>
      <c r="D109" s="4">
        <f t="shared" si="12"/>
        <v>204508.99</v>
      </c>
      <c r="E109" s="4"/>
      <c r="F109" s="4"/>
      <c r="G109" s="4">
        <f t="shared" si="13"/>
        <v>184942</v>
      </c>
      <c r="H109" s="4"/>
      <c r="I109" s="4">
        <f t="shared" si="14"/>
        <v>184941.82</v>
      </c>
      <c r="J109" s="4">
        <f t="shared" si="14"/>
        <v>0</v>
      </c>
      <c r="K109" s="4">
        <f t="shared" si="14"/>
        <v>0</v>
      </c>
      <c r="L109" s="4">
        <f t="shared" si="14"/>
        <v>0</v>
      </c>
      <c r="M109" s="4">
        <f t="shared" si="14"/>
        <v>0</v>
      </c>
      <c r="N109" s="4"/>
      <c r="O109" s="14">
        <v>165374.65</v>
      </c>
      <c r="P109" s="14">
        <v>0</v>
      </c>
      <c r="Q109" s="14">
        <v>0</v>
      </c>
      <c r="R109" s="14">
        <v>0</v>
      </c>
      <c r="S109" s="14">
        <v>0</v>
      </c>
      <c r="T109" s="4"/>
      <c r="U109" s="14">
        <v>204508.99</v>
      </c>
      <c r="V109" s="14">
        <v>0</v>
      </c>
      <c r="W109" s="14">
        <v>0</v>
      </c>
      <c r="X109" s="14">
        <v>0</v>
      </c>
      <c r="Y109" s="14">
        <v>0</v>
      </c>
    </row>
    <row r="110" spans="1:25" ht="12.75">
      <c r="A110" s="5">
        <f t="shared" si="9"/>
        <v>96</v>
      </c>
      <c r="B110" s="15" t="s">
        <v>326</v>
      </c>
      <c r="C110" s="4">
        <f t="shared" si="11"/>
        <v>-8374.45</v>
      </c>
      <c r="D110" s="4">
        <f t="shared" si="12"/>
        <v>-8374.45</v>
      </c>
      <c r="E110" s="4"/>
      <c r="F110" s="4"/>
      <c r="G110" s="4">
        <f t="shared" si="13"/>
        <v>-8374</v>
      </c>
      <c r="H110" s="4"/>
      <c r="I110" s="4">
        <f t="shared" si="14"/>
        <v>-8374.45</v>
      </c>
      <c r="J110" s="4">
        <f t="shared" si="14"/>
        <v>0</v>
      </c>
      <c r="K110" s="4">
        <f t="shared" si="14"/>
        <v>0</v>
      </c>
      <c r="L110" s="4">
        <f t="shared" si="14"/>
        <v>0</v>
      </c>
      <c r="M110" s="4">
        <f t="shared" si="14"/>
        <v>0</v>
      </c>
      <c r="N110" s="4"/>
      <c r="O110" s="14">
        <v>-8374.45</v>
      </c>
      <c r="P110" s="14">
        <v>0</v>
      </c>
      <c r="Q110" s="14">
        <v>0</v>
      </c>
      <c r="R110" s="14">
        <v>0</v>
      </c>
      <c r="S110" s="14">
        <v>0</v>
      </c>
      <c r="T110" s="4"/>
      <c r="U110" s="14">
        <v>-8374.45</v>
      </c>
      <c r="V110" s="14">
        <v>0</v>
      </c>
      <c r="W110" s="14">
        <v>0</v>
      </c>
      <c r="X110" s="14">
        <v>0</v>
      </c>
      <c r="Y110" s="14">
        <v>0</v>
      </c>
    </row>
    <row r="111" spans="1:25" ht="12.75">
      <c r="A111" s="5">
        <f t="shared" si="9"/>
        <v>97</v>
      </c>
      <c r="B111" s="15" t="s">
        <v>327</v>
      </c>
      <c r="C111" s="4">
        <f aca="true" t="shared" si="15" ref="C111:C121">SUM(O111:S111)</f>
        <v>0.01</v>
      </c>
      <c r="D111" s="4">
        <f t="shared" si="12"/>
        <v>0.01</v>
      </c>
      <c r="E111" s="4"/>
      <c r="F111" s="4"/>
      <c r="G111" s="4">
        <f t="shared" si="13"/>
        <v>0</v>
      </c>
      <c r="H111" s="4"/>
      <c r="I111" s="4">
        <f t="shared" si="14"/>
        <v>0.01</v>
      </c>
      <c r="J111" s="4">
        <f t="shared" si="14"/>
        <v>0</v>
      </c>
      <c r="K111" s="4">
        <f t="shared" si="14"/>
        <v>0</v>
      </c>
      <c r="L111" s="4">
        <f t="shared" si="14"/>
        <v>0</v>
      </c>
      <c r="M111" s="4">
        <f t="shared" si="14"/>
        <v>0</v>
      </c>
      <c r="N111" s="4"/>
      <c r="O111" s="14">
        <v>0.01</v>
      </c>
      <c r="P111" s="14">
        <v>0</v>
      </c>
      <c r="Q111" s="14">
        <v>0</v>
      </c>
      <c r="R111" s="14">
        <v>0</v>
      </c>
      <c r="S111" s="14">
        <v>0</v>
      </c>
      <c r="T111" s="4"/>
      <c r="U111" s="14">
        <v>0.01</v>
      </c>
      <c r="V111" s="14">
        <v>0</v>
      </c>
      <c r="W111" s="14">
        <v>0</v>
      </c>
      <c r="X111" s="14">
        <v>0</v>
      </c>
      <c r="Y111" s="14">
        <v>0</v>
      </c>
    </row>
    <row r="112" spans="1:25" ht="12.75">
      <c r="A112" s="5">
        <f t="shared" si="9"/>
        <v>98</v>
      </c>
      <c r="B112" s="15" t="s">
        <v>69</v>
      </c>
      <c r="C112" s="4">
        <f t="shared" si="15"/>
        <v>43522424.75</v>
      </c>
      <c r="D112" s="4">
        <f t="shared" si="12"/>
        <v>46619510.349999994</v>
      </c>
      <c r="E112" s="4"/>
      <c r="F112" s="4"/>
      <c r="G112" s="4">
        <f t="shared" si="13"/>
        <v>45070968</v>
      </c>
      <c r="H112" s="4"/>
      <c r="I112" s="4">
        <f t="shared" si="14"/>
        <v>10269838.25</v>
      </c>
      <c r="J112" s="4">
        <f t="shared" si="14"/>
        <v>10065851.25</v>
      </c>
      <c r="K112" s="4">
        <f t="shared" si="14"/>
        <v>4416632.324999999</v>
      </c>
      <c r="L112" s="4">
        <f t="shared" si="14"/>
        <v>20318645.725</v>
      </c>
      <c r="M112" s="4">
        <f t="shared" si="14"/>
        <v>0</v>
      </c>
      <c r="N112" s="4"/>
      <c r="O112" s="14">
        <v>9805745.25</v>
      </c>
      <c r="P112" s="14">
        <v>10016423.55</v>
      </c>
      <c r="Q112" s="14">
        <v>4302533.55</v>
      </c>
      <c r="R112" s="14">
        <v>19397722.4</v>
      </c>
      <c r="S112" s="14">
        <v>0</v>
      </c>
      <c r="T112" s="4"/>
      <c r="U112" s="14">
        <v>10733931.25</v>
      </c>
      <c r="V112" s="14">
        <v>10115278.95</v>
      </c>
      <c r="W112" s="14">
        <v>4530731.1</v>
      </c>
      <c r="X112" s="14">
        <v>21239569.05</v>
      </c>
      <c r="Y112" s="14">
        <v>0</v>
      </c>
    </row>
    <row r="113" spans="1:25" ht="12.75">
      <c r="A113" s="5">
        <f t="shared" si="9"/>
        <v>99</v>
      </c>
      <c r="B113" s="15" t="s">
        <v>68</v>
      </c>
      <c r="C113" s="4">
        <f t="shared" si="15"/>
        <v>334158.30000000005</v>
      </c>
      <c r="D113" s="4">
        <f t="shared" si="12"/>
        <v>322931.7</v>
      </c>
      <c r="E113" s="4"/>
      <c r="F113" s="4"/>
      <c r="G113" s="4">
        <f t="shared" si="13"/>
        <v>328545</v>
      </c>
      <c r="H113" s="4"/>
      <c r="I113" s="4">
        <f t="shared" si="14"/>
        <v>-6674.5</v>
      </c>
      <c r="J113" s="4">
        <f t="shared" si="14"/>
        <v>112711.025</v>
      </c>
      <c r="K113" s="4">
        <f t="shared" si="14"/>
        <v>28389.550000000003</v>
      </c>
      <c r="L113" s="4">
        <f t="shared" si="14"/>
        <v>194118.925</v>
      </c>
      <c r="M113" s="4">
        <f t="shared" si="14"/>
        <v>0</v>
      </c>
      <c r="N113" s="4"/>
      <c r="O113" s="14">
        <v>-6675.2</v>
      </c>
      <c r="P113" s="14">
        <v>112711.2</v>
      </c>
      <c r="Q113" s="14">
        <v>27948.2</v>
      </c>
      <c r="R113" s="14">
        <v>200174.1</v>
      </c>
      <c r="S113" s="14">
        <v>0</v>
      </c>
      <c r="T113" s="4"/>
      <c r="U113" s="14">
        <v>-6673.8</v>
      </c>
      <c r="V113" s="14">
        <v>112710.85</v>
      </c>
      <c r="W113" s="14">
        <v>28830.9</v>
      </c>
      <c r="X113" s="14">
        <v>188063.75</v>
      </c>
      <c r="Y113" s="14">
        <v>0</v>
      </c>
    </row>
    <row r="114" spans="1:25" ht="12.75">
      <c r="A114" s="5">
        <f t="shared" si="9"/>
        <v>100</v>
      </c>
      <c r="B114" s="15" t="s">
        <v>67</v>
      </c>
      <c r="C114" s="4">
        <f t="shared" si="15"/>
        <v>385953.88999999996</v>
      </c>
      <c r="D114" s="4">
        <f t="shared" si="12"/>
        <v>-9192411.11</v>
      </c>
      <c r="E114" s="4"/>
      <c r="F114" s="4"/>
      <c r="G114" s="4">
        <f t="shared" si="13"/>
        <v>-4403229</v>
      </c>
      <c r="H114" s="4"/>
      <c r="I114" s="4">
        <f t="shared" si="14"/>
        <v>-827578.405</v>
      </c>
      <c r="J114" s="4">
        <f t="shared" si="14"/>
        <v>-1251034.59</v>
      </c>
      <c r="K114" s="4">
        <f t="shared" si="14"/>
        <v>-348076.42000000004</v>
      </c>
      <c r="L114" s="4">
        <f t="shared" si="14"/>
        <v>-1976539.1949999998</v>
      </c>
      <c r="M114" s="4">
        <f t="shared" si="14"/>
        <v>0</v>
      </c>
      <c r="N114" s="4"/>
      <c r="O114" s="14">
        <v>211354.66</v>
      </c>
      <c r="P114" s="14">
        <v>366281.84</v>
      </c>
      <c r="Q114" s="14">
        <v>27228.46</v>
      </c>
      <c r="R114" s="14">
        <v>-218911.07</v>
      </c>
      <c r="S114" s="14">
        <v>0</v>
      </c>
      <c r="T114" s="4"/>
      <c r="U114" s="14">
        <v>-1866511.47</v>
      </c>
      <c r="V114" s="14">
        <v>-2868351.02</v>
      </c>
      <c r="W114" s="14">
        <v>-723381.3</v>
      </c>
      <c r="X114" s="14">
        <v>-3734167.32</v>
      </c>
      <c r="Y114" s="14">
        <v>0</v>
      </c>
    </row>
    <row r="115" spans="1:25" ht="12.75">
      <c r="A115" s="5">
        <f t="shared" si="9"/>
        <v>101</v>
      </c>
      <c r="B115" s="15" t="s">
        <v>328</v>
      </c>
      <c r="C115" s="4">
        <f t="shared" si="15"/>
        <v>0</v>
      </c>
      <c r="D115" s="4">
        <f t="shared" si="12"/>
        <v>0</v>
      </c>
      <c r="E115" s="4"/>
      <c r="F115" s="4"/>
      <c r="G115" s="4">
        <f t="shared" si="13"/>
        <v>0</v>
      </c>
      <c r="H115" s="4"/>
      <c r="I115" s="4">
        <f t="shared" si="14"/>
        <v>0</v>
      </c>
      <c r="J115" s="4">
        <f t="shared" si="14"/>
        <v>0</v>
      </c>
      <c r="K115" s="4">
        <f t="shared" si="14"/>
        <v>0</v>
      </c>
      <c r="L115" s="4">
        <f t="shared" si="14"/>
        <v>0</v>
      </c>
      <c r="M115" s="4">
        <f t="shared" si="14"/>
        <v>0</v>
      </c>
      <c r="N115" s="4"/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4"/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ht="12.75">
      <c r="A116" s="5">
        <f t="shared" si="9"/>
        <v>102</v>
      </c>
      <c r="B116" s="15" t="s">
        <v>329</v>
      </c>
      <c r="C116" s="4">
        <f t="shared" si="15"/>
        <v>2382823.99</v>
      </c>
      <c r="D116" s="4">
        <f t="shared" si="12"/>
        <v>-0.01</v>
      </c>
      <c r="E116" s="4"/>
      <c r="F116" s="4"/>
      <c r="G116" s="4">
        <f t="shared" si="13"/>
        <v>1191412</v>
      </c>
      <c r="H116" s="4"/>
      <c r="I116" s="4">
        <f t="shared" si="14"/>
        <v>1191411.9900000002</v>
      </c>
      <c r="J116" s="4">
        <f t="shared" si="14"/>
        <v>0</v>
      </c>
      <c r="K116" s="4">
        <f t="shared" si="14"/>
        <v>0</v>
      </c>
      <c r="L116" s="4">
        <f t="shared" si="14"/>
        <v>0</v>
      </c>
      <c r="M116" s="4">
        <f t="shared" si="14"/>
        <v>0</v>
      </c>
      <c r="N116" s="4"/>
      <c r="O116" s="14">
        <v>2382823.99</v>
      </c>
      <c r="P116" s="14">
        <v>0</v>
      </c>
      <c r="Q116" s="14">
        <v>0</v>
      </c>
      <c r="R116" s="14">
        <v>0</v>
      </c>
      <c r="S116" s="14">
        <v>0</v>
      </c>
      <c r="T116" s="4"/>
      <c r="U116" s="14">
        <v>-0.01</v>
      </c>
      <c r="V116" s="14">
        <v>0</v>
      </c>
      <c r="W116" s="14">
        <v>0</v>
      </c>
      <c r="X116" s="14">
        <v>0</v>
      </c>
      <c r="Y116" s="14">
        <v>0</v>
      </c>
    </row>
    <row r="117" spans="1:25" ht="12.75">
      <c r="A117" s="5">
        <f>A116+1</f>
        <v>103</v>
      </c>
      <c r="B117" s="15" t="s">
        <v>330</v>
      </c>
      <c r="C117" s="4">
        <f t="shared" si="15"/>
        <v>1419194.16</v>
      </c>
      <c r="D117" s="4">
        <f t="shared" si="12"/>
        <v>7655281.95</v>
      </c>
      <c r="E117" s="4"/>
      <c r="F117" s="4"/>
      <c r="G117" s="4">
        <f t="shared" si="13"/>
        <v>4537238</v>
      </c>
      <c r="H117" s="4"/>
      <c r="I117" s="4">
        <f t="shared" si="14"/>
        <v>4537238.055</v>
      </c>
      <c r="J117" s="4">
        <f t="shared" si="14"/>
        <v>0</v>
      </c>
      <c r="K117" s="4">
        <f t="shared" si="14"/>
        <v>0</v>
      </c>
      <c r="L117" s="4">
        <f t="shared" si="14"/>
        <v>0</v>
      </c>
      <c r="M117" s="4">
        <f t="shared" si="14"/>
        <v>0</v>
      </c>
      <c r="N117" s="4"/>
      <c r="O117" s="14">
        <v>1419194.16</v>
      </c>
      <c r="P117" s="14">
        <v>0</v>
      </c>
      <c r="Q117" s="14">
        <v>0</v>
      </c>
      <c r="R117" s="14">
        <v>0</v>
      </c>
      <c r="S117" s="14">
        <v>0</v>
      </c>
      <c r="T117" s="4"/>
      <c r="U117" s="14">
        <v>7655281.95</v>
      </c>
      <c r="V117" s="14">
        <v>0</v>
      </c>
      <c r="W117" s="14">
        <v>0</v>
      </c>
      <c r="X117" s="14">
        <v>0</v>
      </c>
      <c r="Y117" s="14">
        <v>0</v>
      </c>
    </row>
    <row r="118" spans="1:25" ht="12.75">
      <c r="A118" s="5">
        <f t="shared" si="9"/>
        <v>104</v>
      </c>
      <c r="B118" s="15" t="s">
        <v>331</v>
      </c>
      <c r="C118" s="4">
        <f t="shared" si="15"/>
        <v>0</v>
      </c>
      <c r="D118" s="4">
        <f t="shared" si="12"/>
        <v>0</v>
      </c>
      <c r="E118" s="4"/>
      <c r="F118" s="4"/>
      <c r="G118" s="4">
        <f t="shared" si="13"/>
        <v>0</v>
      </c>
      <c r="H118" s="4"/>
      <c r="I118" s="4">
        <f t="shared" si="14"/>
        <v>0</v>
      </c>
      <c r="J118" s="4">
        <f t="shared" si="14"/>
        <v>0</v>
      </c>
      <c r="K118" s="4">
        <f t="shared" si="14"/>
        <v>0</v>
      </c>
      <c r="L118" s="4">
        <f t="shared" si="14"/>
        <v>0</v>
      </c>
      <c r="M118" s="4">
        <f t="shared" si="14"/>
        <v>0</v>
      </c>
      <c r="N118" s="4"/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4"/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ht="12.75">
      <c r="A119" s="5">
        <f t="shared" si="9"/>
        <v>105</v>
      </c>
      <c r="B119" s="15" t="s">
        <v>332</v>
      </c>
      <c r="C119" s="4">
        <f t="shared" si="15"/>
        <v>0</v>
      </c>
      <c r="D119" s="4">
        <f t="shared" si="12"/>
        <v>0</v>
      </c>
      <c r="E119" s="4"/>
      <c r="F119" s="4"/>
      <c r="G119" s="4">
        <f t="shared" si="13"/>
        <v>0</v>
      </c>
      <c r="H119" s="4"/>
      <c r="I119" s="4">
        <f t="shared" si="14"/>
        <v>0</v>
      </c>
      <c r="J119" s="4">
        <f t="shared" si="14"/>
        <v>0</v>
      </c>
      <c r="K119" s="4">
        <f t="shared" si="14"/>
        <v>0</v>
      </c>
      <c r="L119" s="4">
        <f t="shared" si="14"/>
        <v>0</v>
      </c>
      <c r="M119" s="4">
        <f t="shared" si="14"/>
        <v>0</v>
      </c>
      <c r="N119" s="4"/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4"/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ht="12.75">
      <c r="A120" s="5">
        <f t="shared" si="9"/>
        <v>106</v>
      </c>
      <c r="B120" s="15" t="s">
        <v>333</v>
      </c>
      <c r="C120" s="4">
        <f t="shared" si="15"/>
        <v>0.05</v>
      </c>
      <c r="D120" s="4">
        <f t="shared" si="12"/>
        <v>-80833.7</v>
      </c>
      <c r="E120" s="4"/>
      <c r="F120" s="4"/>
      <c r="G120" s="4">
        <f t="shared" si="13"/>
        <v>-40417</v>
      </c>
      <c r="H120" s="4"/>
      <c r="I120" s="4">
        <f t="shared" si="14"/>
        <v>0</v>
      </c>
      <c r="J120" s="4">
        <f t="shared" si="14"/>
        <v>0</v>
      </c>
      <c r="K120" s="4">
        <f t="shared" si="14"/>
        <v>0</v>
      </c>
      <c r="L120" s="4">
        <f t="shared" si="14"/>
        <v>-40416.825</v>
      </c>
      <c r="M120" s="4">
        <f t="shared" si="14"/>
        <v>0</v>
      </c>
      <c r="N120" s="4"/>
      <c r="O120" s="14">
        <v>0</v>
      </c>
      <c r="P120" s="14">
        <v>0</v>
      </c>
      <c r="Q120" s="14">
        <v>0</v>
      </c>
      <c r="R120" s="14">
        <v>0.05</v>
      </c>
      <c r="S120" s="14">
        <v>0</v>
      </c>
      <c r="T120" s="4"/>
      <c r="U120" s="14">
        <v>0</v>
      </c>
      <c r="V120" s="14">
        <v>0</v>
      </c>
      <c r="W120" s="14">
        <v>0</v>
      </c>
      <c r="X120" s="14">
        <v>-80833.7</v>
      </c>
      <c r="Y120" s="14">
        <v>0</v>
      </c>
    </row>
    <row r="121" spans="1:25" ht="12.75">
      <c r="A121" s="5">
        <f t="shared" si="9"/>
        <v>107</v>
      </c>
      <c r="B121" s="15" t="s">
        <v>334</v>
      </c>
      <c r="C121" s="4">
        <f t="shared" si="15"/>
        <v>-0.01</v>
      </c>
      <c r="D121" s="4">
        <f t="shared" si="12"/>
        <v>17967.7</v>
      </c>
      <c r="E121" s="4"/>
      <c r="F121" s="4"/>
      <c r="G121" s="4">
        <f t="shared" si="13"/>
        <v>8984</v>
      </c>
      <c r="H121" s="4"/>
      <c r="I121" s="4">
        <f t="shared" si="14"/>
        <v>8983.845000000001</v>
      </c>
      <c r="J121" s="4">
        <f t="shared" si="14"/>
        <v>0</v>
      </c>
      <c r="K121" s="4">
        <f t="shared" si="14"/>
        <v>0</v>
      </c>
      <c r="L121" s="4">
        <f t="shared" si="14"/>
        <v>0</v>
      </c>
      <c r="M121" s="4">
        <f t="shared" si="14"/>
        <v>0</v>
      </c>
      <c r="N121" s="4"/>
      <c r="O121" s="14">
        <v>-0.01</v>
      </c>
      <c r="P121" s="14">
        <v>0</v>
      </c>
      <c r="Q121" s="14">
        <v>0</v>
      </c>
      <c r="R121" s="14">
        <v>0</v>
      </c>
      <c r="S121" s="14">
        <v>0</v>
      </c>
      <c r="T121" s="4"/>
      <c r="U121" s="14">
        <v>17967.7</v>
      </c>
      <c r="V121" s="14">
        <v>0</v>
      </c>
      <c r="W121" s="14">
        <v>0</v>
      </c>
      <c r="X121" s="14">
        <v>0</v>
      </c>
      <c r="Y121" s="14">
        <v>0</v>
      </c>
    </row>
    <row r="122" spans="1:25" ht="12.75">
      <c r="A122" s="5">
        <f t="shared" si="9"/>
        <v>108</v>
      </c>
      <c r="B122" s="15" t="s">
        <v>335</v>
      </c>
      <c r="C122" s="4">
        <f>SUM(O122:S122)</f>
        <v>-0.01</v>
      </c>
      <c r="D122" s="4">
        <f t="shared" si="12"/>
        <v>-0.01</v>
      </c>
      <c r="E122" s="4"/>
      <c r="F122" s="4"/>
      <c r="G122" s="4">
        <f t="shared" si="13"/>
        <v>0</v>
      </c>
      <c r="H122" s="4"/>
      <c r="I122" s="4">
        <f t="shared" si="14"/>
        <v>0</v>
      </c>
      <c r="J122" s="4">
        <f t="shared" si="14"/>
        <v>-0.01</v>
      </c>
      <c r="K122" s="4">
        <f t="shared" si="14"/>
        <v>0</v>
      </c>
      <c r="L122" s="4">
        <f t="shared" si="14"/>
        <v>0</v>
      </c>
      <c r="M122" s="4">
        <f t="shared" si="14"/>
        <v>0</v>
      </c>
      <c r="N122" s="4"/>
      <c r="O122" s="14">
        <v>0</v>
      </c>
      <c r="P122" s="14">
        <v>-0.01</v>
      </c>
      <c r="Q122" s="14">
        <v>0</v>
      </c>
      <c r="R122" s="14">
        <v>0</v>
      </c>
      <c r="S122" s="14">
        <v>0</v>
      </c>
      <c r="T122" s="4"/>
      <c r="U122" s="14">
        <v>0</v>
      </c>
      <c r="V122" s="14">
        <v>-0.01</v>
      </c>
      <c r="W122" s="14">
        <v>0</v>
      </c>
      <c r="X122" s="14">
        <v>0</v>
      </c>
      <c r="Y122" s="14">
        <v>0</v>
      </c>
    </row>
    <row r="123" spans="1:25" ht="12.75">
      <c r="A123" s="5">
        <f t="shared" si="9"/>
        <v>109</v>
      </c>
      <c r="B123" s="15" t="s">
        <v>336</v>
      </c>
      <c r="C123" s="4">
        <f>SUM(O123:S123)</f>
        <v>5446.88</v>
      </c>
      <c r="D123" s="4">
        <f t="shared" si="12"/>
        <v>35214.59</v>
      </c>
      <c r="E123" s="4"/>
      <c r="F123" s="4"/>
      <c r="G123" s="4">
        <f t="shared" si="13"/>
        <v>20331</v>
      </c>
      <c r="H123" s="4"/>
      <c r="I123" s="4">
        <f t="shared" si="14"/>
        <v>0</v>
      </c>
      <c r="J123" s="4">
        <f t="shared" si="14"/>
        <v>20330.734999999997</v>
      </c>
      <c r="K123" s="4">
        <f t="shared" si="14"/>
        <v>0</v>
      </c>
      <c r="L123" s="4">
        <f t="shared" si="14"/>
        <v>0</v>
      </c>
      <c r="M123" s="4">
        <f t="shared" si="14"/>
        <v>0</v>
      </c>
      <c r="N123" s="4"/>
      <c r="O123" s="14">
        <v>0</v>
      </c>
      <c r="P123" s="14">
        <v>5446.88</v>
      </c>
      <c r="Q123" s="14">
        <v>0</v>
      </c>
      <c r="R123" s="14">
        <v>0</v>
      </c>
      <c r="S123" s="14">
        <v>0</v>
      </c>
      <c r="T123" s="4"/>
      <c r="U123" s="14">
        <v>0</v>
      </c>
      <c r="V123" s="14">
        <v>35214.59</v>
      </c>
      <c r="W123" s="14">
        <v>0</v>
      </c>
      <c r="X123" s="14">
        <v>0</v>
      </c>
      <c r="Y123" s="14">
        <v>0</v>
      </c>
    </row>
    <row r="124" spans="1:25" ht="12.75">
      <c r="A124" s="5">
        <f t="shared" si="9"/>
        <v>110</v>
      </c>
      <c r="B124" s="15" t="s">
        <v>61</v>
      </c>
      <c r="C124" s="4">
        <f>SUM(O124:S124)</f>
        <v>-0.03</v>
      </c>
      <c r="D124" s="4">
        <f t="shared" si="12"/>
        <v>405661.56999999995</v>
      </c>
      <c r="E124" s="4"/>
      <c r="F124" s="4"/>
      <c r="G124" s="4">
        <f t="shared" si="13"/>
        <v>202831</v>
      </c>
      <c r="H124" s="4"/>
      <c r="I124" s="4">
        <f t="shared" si="14"/>
        <v>30256.329999999998</v>
      </c>
      <c r="J124" s="4">
        <f t="shared" si="14"/>
        <v>64624.59</v>
      </c>
      <c r="K124" s="4">
        <f t="shared" si="14"/>
        <v>31222.095</v>
      </c>
      <c r="L124" s="4">
        <f t="shared" si="14"/>
        <v>76727.75499999999</v>
      </c>
      <c r="M124" s="4">
        <f t="shared" si="14"/>
        <v>0</v>
      </c>
      <c r="N124" s="4"/>
      <c r="O124" s="14">
        <v>-0.01</v>
      </c>
      <c r="P124" s="14">
        <v>0.01</v>
      </c>
      <c r="Q124" s="14">
        <v>-0.02</v>
      </c>
      <c r="R124" s="14">
        <v>-0.01</v>
      </c>
      <c r="S124" s="14">
        <v>0</v>
      </c>
      <c r="T124" s="4"/>
      <c r="U124" s="14">
        <v>60512.67</v>
      </c>
      <c r="V124" s="14">
        <v>129249.17</v>
      </c>
      <c r="W124" s="14">
        <v>62444.21</v>
      </c>
      <c r="X124" s="14">
        <v>153455.52</v>
      </c>
      <c r="Y124" s="14">
        <v>0</v>
      </c>
    </row>
    <row r="125" spans="1:25" ht="12.75">
      <c r="A125" s="5">
        <f t="shared" si="9"/>
        <v>111</v>
      </c>
      <c r="B125" s="15" t="s">
        <v>337</v>
      </c>
      <c r="C125" s="4">
        <f aca="true" t="shared" si="16" ref="C125:C140">SUM(O125:S125)</f>
        <v>459636.81</v>
      </c>
      <c r="D125" s="4">
        <f t="shared" si="12"/>
        <v>248876.6</v>
      </c>
      <c r="E125" s="4"/>
      <c r="F125" s="4"/>
      <c r="G125" s="4">
        <f t="shared" si="13"/>
        <v>354257</v>
      </c>
      <c r="H125" s="4"/>
      <c r="I125" s="4">
        <f t="shared" si="14"/>
        <v>0</v>
      </c>
      <c r="J125" s="4">
        <f t="shared" si="14"/>
        <v>0</v>
      </c>
      <c r="K125" s="4">
        <f t="shared" si="14"/>
        <v>0</v>
      </c>
      <c r="L125" s="4">
        <f t="shared" si="14"/>
        <v>354256.705</v>
      </c>
      <c r="M125" s="4">
        <f t="shared" si="14"/>
        <v>0</v>
      </c>
      <c r="N125" s="4"/>
      <c r="O125" s="14">
        <v>0</v>
      </c>
      <c r="P125" s="14">
        <v>0</v>
      </c>
      <c r="Q125" s="14">
        <v>0</v>
      </c>
      <c r="R125" s="14">
        <v>459636.81</v>
      </c>
      <c r="S125" s="14">
        <v>0</v>
      </c>
      <c r="T125" s="4"/>
      <c r="U125" s="14">
        <v>0</v>
      </c>
      <c r="V125" s="14">
        <v>0</v>
      </c>
      <c r="W125" s="14">
        <v>0</v>
      </c>
      <c r="X125" s="14">
        <v>248876.6</v>
      </c>
      <c r="Y125" s="14">
        <v>0</v>
      </c>
    </row>
    <row r="126" spans="1:25" ht="12.75">
      <c r="A126" s="5">
        <f t="shared" si="9"/>
        <v>112</v>
      </c>
      <c r="B126" s="15" t="s">
        <v>338</v>
      </c>
      <c r="C126" s="4">
        <f>SUM(O126:S126)</f>
        <v>26045.03</v>
      </c>
      <c r="D126" s="4">
        <f t="shared" si="12"/>
        <v>0</v>
      </c>
      <c r="E126" s="4"/>
      <c r="F126" s="4"/>
      <c r="G126" s="4">
        <f t="shared" si="13"/>
        <v>13023</v>
      </c>
      <c r="H126" s="4"/>
      <c r="I126" s="4">
        <f t="shared" si="14"/>
        <v>0</v>
      </c>
      <c r="J126" s="4">
        <f t="shared" si="14"/>
        <v>0</v>
      </c>
      <c r="K126" s="4">
        <f t="shared" si="14"/>
        <v>0</v>
      </c>
      <c r="L126" s="4">
        <f t="shared" si="14"/>
        <v>13022.515</v>
      </c>
      <c r="M126" s="4">
        <f t="shared" si="14"/>
        <v>0</v>
      </c>
      <c r="N126" s="4"/>
      <c r="O126" s="14">
        <v>0</v>
      </c>
      <c r="P126" s="14">
        <v>0</v>
      </c>
      <c r="Q126" s="14">
        <v>0</v>
      </c>
      <c r="R126" s="14">
        <v>26045.03</v>
      </c>
      <c r="S126" s="14">
        <v>0</v>
      </c>
      <c r="T126" s="4"/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ht="12.75">
      <c r="A127" s="5">
        <f t="shared" si="9"/>
        <v>113</v>
      </c>
      <c r="B127" s="15" t="s">
        <v>339</v>
      </c>
      <c r="C127" s="4">
        <f>SUM(O127:S127)</f>
        <v>-9894.95</v>
      </c>
      <c r="D127" s="4">
        <f t="shared" si="12"/>
        <v>0</v>
      </c>
      <c r="E127" s="4"/>
      <c r="F127" s="4"/>
      <c r="G127" s="4">
        <f t="shared" si="13"/>
        <v>-4947</v>
      </c>
      <c r="H127" s="4"/>
      <c r="I127" s="4">
        <f t="shared" si="14"/>
        <v>0</v>
      </c>
      <c r="J127" s="4">
        <f t="shared" si="14"/>
        <v>0</v>
      </c>
      <c r="K127" s="4">
        <f t="shared" si="14"/>
        <v>0</v>
      </c>
      <c r="L127" s="4">
        <f t="shared" si="14"/>
        <v>-4947.475</v>
      </c>
      <c r="M127" s="4">
        <f t="shared" si="14"/>
        <v>0</v>
      </c>
      <c r="N127" s="4"/>
      <c r="O127" s="14">
        <v>0</v>
      </c>
      <c r="P127" s="14">
        <v>0</v>
      </c>
      <c r="Q127" s="14">
        <v>0</v>
      </c>
      <c r="R127" s="14">
        <v>-9894.95</v>
      </c>
      <c r="S127" s="14">
        <v>0</v>
      </c>
      <c r="T127" s="4"/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ht="12.75">
      <c r="A128" s="5">
        <f t="shared" si="9"/>
        <v>114</v>
      </c>
      <c r="B128" s="15" t="s">
        <v>340</v>
      </c>
      <c r="C128" s="4">
        <f>SUM(O128:S128)</f>
        <v>3299.96</v>
      </c>
      <c r="D128" s="4">
        <f t="shared" si="12"/>
        <v>0</v>
      </c>
      <c r="E128" s="4"/>
      <c r="F128" s="4"/>
      <c r="G128" s="4">
        <f t="shared" si="13"/>
        <v>1650</v>
      </c>
      <c r="H128" s="4"/>
      <c r="I128" s="4">
        <f t="shared" si="14"/>
        <v>0</v>
      </c>
      <c r="J128" s="4">
        <f t="shared" si="14"/>
        <v>0</v>
      </c>
      <c r="K128" s="4">
        <f t="shared" si="14"/>
        <v>0</v>
      </c>
      <c r="L128" s="4">
        <f t="shared" si="14"/>
        <v>1649.98</v>
      </c>
      <c r="M128" s="4">
        <f t="shared" si="14"/>
        <v>0</v>
      </c>
      <c r="N128" s="4"/>
      <c r="O128" s="14">
        <v>0</v>
      </c>
      <c r="P128" s="14">
        <v>0</v>
      </c>
      <c r="Q128" s="14">
        <v>0</v>
      </c>
      <c r="R128" s="14">
        <v>3299.96</v>
      </c>
      <c r="S128" s="14">
        <v>0</v>
      </c>
      <c r="T128" s="4"/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ht="12.75">
      <c r="A129" s="5">
        <f t="shared" si="9"/>
        <v>115</v>
      </c>
      <c r="B129" s="15" t="s">
        <v>341</v>
      </c>
      <c r="C129" s="4">
        <f t="shared" si="16"/>
        <v>0</v>
      </c>
      <c r="D129" s="4">
        <f t="shared" si="12"/>
        <v>-93.35</v>
      </c>
      <c r="E129" s="4"/>
      <c r="F129" s="4"/>
      <c r="G129" s="4">
        <f t="shared" si="13"/>
        <v>-47</v>
      </c>
      <c r="H129" s="4"/>
      <c r="I129" s="4">
        <f t="shared" si="14"/>
        <v>0</v>
      </c>
      <c r="J129" s="4">
        <f t="shared" si="14"/>
        <v>0</v>
      </c>
      <c r="K129" s="4">
        <f t="shared" si="14"/>
        <v>0</v>
      </c>
      <c r="L129" s="4">
        <f t="shared" si="14"/>
        <v>-46.675</v>
      </c>
      <c r="M129" s="4">
        <f t="shared" si="14"/>
        <v>0</v>
      </c>
      <c r="N129" s="4"/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4"/>
      <c r="U129" s="14">
        <v>0</v>
      </c>
      <c r="V129" s="14">
        <v>0</v>
      </c>
      <c r="W129" s="14">
        <v>0</v>
      </c>
      <c r="X129" s="14">
        <v>-93.35</v>
      </c>
      <c r="Y129" s="14">
        <v>0</v>
      </c>
    </row>
    <row r="130" spans="1:25" ht="12.75">
      <c r="A130" s="5">
        <f t="shared" si="9"/>
        <v>116</v>
      </c>
      <c r="B130" s="15" t="s">
        <v>342</v>
      </c>
      <c r="C130" s="4">
        <f t="shared" si="16"/>
        <v>-469.99</v>
      </c>
      <c r="D130" s="4">
        <f t="shared" si="12"/>
        <v>-3796.29</v>
      </c>
      <c r="E130" s="4"/>
      <c r="F130" s="4"/>
      <c r="G130" s="4">
        <f t="shared" si="13"/>
        <v>-2133</v>
      </c>
      <c r="H130" s="4"/>
      <c r="I130" s="4">
        <f t="shared" si="14"/>
        <v>0</v>
      </c>
      <c r="J130" s="4">
        <f t="shared" si="14"/>
        <v>0</v>
      </c>
      <c r="K130" s="4">
        <f t="shared" si="14"/>
        <v>0</v>
      </c>
      <c r="L130" s="4">
        <f t="shared" si="14"/>
        <v>-2133.14</v>
      </c>
      <c r="M130" s="4">
        <f t="shared" si="14"/>
        <v>0</v>
      </c>
      <c r="N130" s="4"/>
      <c r="O130" s="14">
        <v>0</v>
      </c>
      <c r="P130" s="14">
        <v>0</v>
      </c>
      <c r="Q130" s="14">
        <v>0</v>
      </c>
      <c r="R130" s="14">
        <v>-469.99</v>
      </c>
      <c r="S130" s="14">
        <v>0</v>
      </c>
      <c r="T130" s="4"/>
      <c r="U130" s="14">
        <v>0</v>
      </c>
      <c r="V130" s="14">
        <v>0</v>
      </c>
      <c r="W130" s="14">
        <v>0</v>
      </c>
      <c r="X130" s="14">
        <v>-3796.29</v>
      </c>
      <c r="Y130" s="14">
        <v>0</v>
      </c>
    </row>
    <row r="131" spans="1:25" ht="12.75">
      <c r="A131" s="5">
        <f t="shared" si="9"/>
        <v>117</v>
      </c>
      <c r="B131" s="15" t="s">
        <v>343</v>
      </c>
      <c r="C131" s="4">
        <f t="shared" si="16"/>
        <v>-74211.59</v>
      </c>
      <c r="D131" s="4">
        <f t="shared" si="12"/>
        <v>162.89</v>
      </c>
      <c r="E131" s="4"/>
      <c r="F131" s="4"/>
      <c r="G131" s="4">
        <f t="shared" si="13"/>
        <v>-37024</v>
      </c>
      <c r="H131" s="4"/>
      <c r="I131" s="4">
        <f t="shared" si="14"/>
        <v>0</v>
      </c>
      <c r="J131" s="4">
        <f t="shared" si="14"/>
        <v>0</v>
      </c>
      <c r="K131" s="4">
        <f t="shared" si="14"/>
        <v>0</v>
      </c>
      <c r="L131" s="4">
        <f t="shared" si="14"/>
        <v>-37024.35</v>
      </c>
      <c r="M131" s="4">
        <f t="shared" si="14"/>
        <v>0</v>
      </c>
      <c r="N131" s="4"/>
      <c r="O131" s="14">
        <v>0</v>
      </c>
      <c r="P131" s="14">
        <v>0</v>
      </c>
      <c r="Q131" s="14">
        <v>0</v>
      </c>
      <c r="R131" s="14">
        <v>-74211.59</v>
      </c>
      <c r="S131" s="14">
        <v>0</v>
      </c>
      <c r="T131" s="4"/>
      <c r="U131" s="14">
        <v>0</v>
      </c>
      <c r="V131" s="14">
        <v>0</v>
      </c>
      <c r="W131" s="14">
        <v>0</v>
      </c>
      <c r="X131" s="14">
        <v>162.89</v>
      </c>
      <c r="Y131" s="14">
        <v>0</v>
      </c>
    </row>
    <row r="132" spans="1:25" ht="12.75">
      <c r="A132" s="5">
        <f t="shared" si="9"/>
        <v>118</v>
      </c>
      <c r="B132" s="15" t="s">
        <v>344</v>
      </c>
      <c r="C132" s="4">
        <f t="shared" si="16"/>
        <v>1495.17</v>
      </c>
      <c r="D132" s="4">
        <f t="shared" si="12"/>
        <v>9665.13</v>
      </c>
      <c r="E132" s="4"/>
      <c r="F132" s="4"/>
      <c r="G132" s="4">
        <f t="shared" si="13"/>
        <v>5580</v>
      </c>
      <c r="H132" s="4"/>
      <c r="I132" s="4">
        <f t="shared" si="14"/>
        <v>0</v>
      </c>
      <c r="J132" s="4">
        <f t="shared" si="14"/>
        <v>0</v>
      </c>
      <c r="K132" s="4">
        <f t="shared" si="14"/>
        <v>0</v>
      </c>
      <c r="L132" s="4">
        <f t="shared" si="14"/>
        <v>5580.15</v>
      </c>
      <c r="M132" s="4">
        <f t="shared" si="14"/>
        <v>0</v>
      </c>
      <c r="N132" s="4"/>
      <c r="O132" s="14">
        <v>0</v>
      </c>
      <c r="P132" s="14">
        <v>0</v>
      </c>
      <c r="Q132" s="14">
        <v>0</v>
      </c>
      <c r="R132" s="14">
        <v>1495.17</v>
      </c>
      <c r="S132" s="14">
        <v>0</v>
      </c>
      <c r="T132" s="4"/>
      <c r="U132" s="14">
        <v>0</v>
      </c>
      <c r="V132" s="14">
        <v>0</v>
      </c>
      <c r="W132" s="14">
        <v>0</v>
      </c>
      <c r="X132" s="14">
        <v>9665.13</v>
      </c>
      <c r="Y132" s="14">
        <v>0</v>
      </c>
    </row>
    <row r="133" spans="1:25" ht="12.75">
      <c r="A133" s="5">
        <f t="shared" si="9"/>
        <v>119</v>
      </c>
      <c r="B133" s="15" t="s">
        <v>345</v>
      </c>
      <c r="C133" s="4">
        <f t="shared" si="16"/>
        <v>3686667.49</v>
      </c>
      <c r="D133" s="4">
        <f t="shared" si="12"/>
        <v>4644124.4</v>
      </c>
      <c r="E133" s="4"/>
      <c r="F133" s="4"/>
      <c r="G133" s="4">
        <f t="shared" si="13"/>
        <v>4165396</v>
      </c>
      <c r="H133" s="4"/>
      <c r="I133" s="4">
        <f t="shared" si="14"/>
        <v>0</v>
      </c>
      <c r="J133" s="4">
        <f t="shared" si="14"/>
        <v>0</v>
      </c>
      <c r="K133" s="4">
        <f t="shared" si="14"/>
        <v>0</v>
      </c>
      <c r="L133" s="4">
        <f t="shared" si="14"/>
        <v>4165395.9450000003</v>
      </c>
      <c r="M133" s="4">
        <f t="shared" si="14"/>
        <v>0</v>
      </c>
      <c r="N133" s="4"/>
      <c r="O133" s="14">
        <v>0</v>
      </c>
      <c r="P133" s="14">
        <v>0</v>
      </c>
      <c r="Q133" s="14">
        <v>0</v>
      </c>
      <c r="R133" s="14">
        <v>3686667.49</v>
      </c>
      <c r="S133" s="14">
        <v>0</v>
      </c>
      <c r="T133" s="4"/>
      <c r="U133" s="14">
        <v>0</v>
      </c>
      <c r="V133" s="14">
        <v>0</v>
      </c>
      <c r="W133" s="14">
        <v>0</v>
      </c>
      <c r="X133" s="14">
        <v>4644124.4</v>
      </c>
      <c r="Y133" s="14">
        <v>0</v>
      </c>
    </row>
    <row r="134" spans="1:25" ht="12.75">
      <c r="A134" s="5">
        <f t="shared" si="9"/>
        <v>120</v>
      </c>
      <c r="B134" s="15" t="s">
        <v>346</v>
      </c>
      <c r="C134" s="4">
        <f t="shared" si="16"/>
        <v>-346813.22</v>
      </c>
      <c r="D134" s="4">
        <f t="shared" si="12"/>
        <v>1243760.56</v>
      </c>
      <c r="E134" s="4"/>
      <c r="F134" s="4"/>
      <c r="G134" s="4">
        <f t="shared" si="13"/>
        <v>448474</v>
      </c>
      <c r="H134" s="4"/>
      <c r="I134" s="4">
        <f t="shared" si="14"/>
        <v>0</v>
      </c>
      <c r="J134" s="4">
        <f t="shared" si="14"/>
        <v>0</v>
      </c>
      <c r="K134" s="4">
        <f t="shared" si="14"/>
        <v>0</v>
      </c>
      <c r="L134" s="4">
        <f t="shared" si="14"/>
        <v>448473.67000000004</v>
      </c>
      <c r="M134" s="4">
        <f t="shared" si="14"/>
        <v>0</v>
      </c>
      <c r="N134" s="4"/>
      <c r="O134" s="14">
        <v>0</v>
      </c>
      <c r="P134" s="14">
        <v>0</v>
      </c>
      <c r="Q134" s="14">
        <v>0</v>
      </c>
      <c r="R134" s="14">
        <v>-346813.22</v>
      </c>
      <c r="S134" s="14">
        <v>0</v>
      </c>
      <c r="T134" s="4"/>
      <c r="U134" s="14">
        <v>0</v>
      </c>
      <c r="V134" s="14">
        <v>0</v>
      </c>
      <c r="W134" s="14">
        <v>0</v>
      </c>
      <c r="X134" s="14">
        <v>1243760.56</v>
      </c>
      <c r="Y134" s="14">
        <v>0</v>
      </c>
    </row>
    <row r="135" spans="1:25" ht="12.75">
      <c r="A135" s="5">
        <f t="shared" si="9"/>
        <v>121</v>
      </c>
      <c r="B135" s="15" t="s">
        <v>347</v>
      </c>
      <c r="C135" s="4">
        <f t="shared" si="16"/>
        <v>7028.380000000001</v>
      </c>
      <c r="D135" s="4">
        <f t="shared" si="12"/>
        <v>7028.380000000001</v>
      </c>
      <c r="E135" s="4"/>
      <c r="F135" s="4"/>
      <c r="G135" s="4">
        <f t="shared" si="13"/>
        <v>7028</v>
      </c>
      <c r="H135" s="4"/>
      <c r="I135" s="4">
        <f t="shared" si="14"/>
        <v>4582.81</v>
      </c>
      <c r="J135" s="4">
        <f t="shared" si="14"/>
        <v>0</v>
      </c>
      <c r="K135" s="4">
        <f t="shared" si="14"/>
        <v>871.09</v>
      </c>
      <c r="L135" s="4">
        <f t="shared" si="14"/>
        <v>1574.48</v>
      </c>
      <c r="M135" s="4">
        <f t="shared" si="14"/>
        <v>0</v>
      </c>
      <c r="N135" s="4"/>
      <c r="O135" s="14">
        <v>4582.81</v>
      </c>
      <c r="P135" s="14">
        <v>0</v>
      </c>
      <c r="Q135" s="14">
        <v>871.09</v>
      </c>
      <c r="R135" s="14">
        <v>1574.48</v>
      </c>
      <c r="S135" s="14">
        <v>0</v>
      </c>
      <c r="T135" s="4"/>
      <c r="U135" s="14">
        <v>4582.81</v>
      </c>
      <c r="V135" s="14">
        <v>0</v>
      </c>
      <c r="W135" s="14">
        <v>871.09</v>
      </c>
      <c r="X135" s="14">
        <v>1574.48</v>
      </c>
      <c r="Y135" s="14">
        <v>0</v>
      </c>
    </row>
    <row r="136" spans="1:25" ht="12.75">
      <c r="A136" s="5">
        <f t="shared" si="9"/>
        <v>122</v>
      </c>
      <c r="B136" s="15" t="s">
        <v>348</v>
      </c>
      <c r="C136" s="4">
        <f t="shared" si="16"/>
        <v>-1358947.8800000001</v>
      </c>
      <c r="D136" s="4">
        <f t="shared" si="12"/>
        <v>-1358947.8800000001</v>
      </c>
      <c r="E136" s="4"/>
      <c r="F136" s="4"/>
      <c r="G136" s="4">
        <f t="shared" si="13"/>
        <v>-1358948</v>
      </c>
      <c r="H136" s="4"/>
      <c r="I136" s="4">
        <f t="shared" si="14"/>
        <v>-874166.29</v>
      </c>
      <c r="J136" s="4">
        <f t="shared" si="14"/>
        <v>0</v>
      </c>
      <c r="K136" s="4">
        <f t="shared" si="14"/>
        <v>-145790.54</v>
      </c>
      <c r="L136" s="4">
        <f t="shared" si="14"/>
        <v>-338991.05</v>
      </c>
      <c r="M136" s="4">
        <f t="shared" si="14"/>
        <v>0</v>
      </c>
      <c r="N136" s="4"/>
      <c r="O136" s="14">
        <v>-874166.29</v>
      </c>
      <c r="P136" s="14">
        <v>0</v>
      </c>
      <c r="Q136" s="14">
        <v>-145790.54</v>
      </c>
      <c r="R136" s="14">
        <v>-338991.05</v>
      </c>
      <c r="S136" s="14">
        <v>0</v>
      </c>
      <c r="T136" s="4"/>
      <c r="U136" s="14">
        <v>-874166.29</v>
      </c>
      <c r="V136" s="14">
        <v>0</v>
      </c>
      <c r="W136" s="14">
        <v>-145790.54</v>
      </c>
      <c r="X136" s="14">
        <v>-338991.05</v>
      </c>
      <c r="Y136" s="14">
        <v>0</v>
      </c>
    </row>
    <row r="137" spans="1:25" ht="12.75">
      <c r="A137" s="5">
        <f t="shared" si="9"/>
        <v>123</v>
      </c>
      <c r="B137" s="15" t="s">
        <v>349</v>
      </c>
      <c r="C137" s="4">
        <f t="shared" si="16"/>
        <v>587391.24</v>
      </c>
      <c r="D137" s="4">
        <f t="shared" si="12"/>
        <v>430731.79</v>
      </c>
      <c r="E137" s="4"/>
      <c r="F137" s="4"/>
      <c r="G137" s="4">
        <f t="shared" si="13"/>
        <v>509062</v>
      </c>
      <c r="H137" s="4"/>
      <c r="I137" s="4">
        <f t="shared" si="14"/>
        <v>0</v>
      </c>
      <c r="J137" s="4">
        <f t="shared" si="14"/>
        <v>509061.515</v>
      </c>
      <c r="K137" s="4">
        <f t="shared" si="14"/>
        <v>0</v>
      </c>
      <c r="L137" s="4">
        <f t="shared" si="14"/>
        <v>0</v>
      </c>
      <c r="M137" s="4">
        <f t="shared" si="14"/>
        <v>0</v>
      </c>
      <c r="N137" s="4"/>
      <c r="O137" s="14">
        <v>0</v>
      </c>
      <c r="P137" s="14">
        <v>587391.24</v>
      </c>
      <c r="Q137" s="14">
        <v>0</v>
      </c>
      <c r="R137" s="14">
        <v>0</v>
      </c>
      <c r="S137" s="14">
        <v>0</v>
      </c>
      <c r="T137" s="4"/>
      <c r="U137" s="14">
        <v>0</v>
      </c>
      <c r="V137" s="14">
        <v>430731.79</v>
      </c>
      <c r="W137" s="14">
        <v>0</v>
      </c>
      <c r="X137" s="14">
        <v>0</v>
      </c>
      <c r="Y137" s="14">
        <v>0</v>
      </c>
    </row>
    <row r="138" spans="1:25" ht="12.75">
      <c r="A138" s="5">
        <f t="shared" si="9"/>
        <v>124</v>
      </c>
      <c r="B138" s="15" t="s">
        <v>350</v>
      </c>
      <c r="C138" s="4">
        <f t="shared" si="16"/>
        <v>-370215.13</v>
      </c>
      <c r="D138" s="4">
        <f t="shared" si="12"/>
        <v>-271458.98</v>
      </c>
      <c r="E138" s="4"/>
      <c r="F138" s="4"/>
      <c r="G138" s="4">
        <f t="shared" si="13"/>
        <v>-320837</v>
      </c>
      <c r="H138" s="4"/>
      <c r="I138" s="4">
        <f t="shared" si="14"/>
        <v>0</v>
      </c>
      <c r="J138" s="4">
        <f t="shared" si="14"/>
        <v>-320837.055</v>
      </c>
      <c r="K138" s="4">
        <f t="shared" si="14"/>
        <v>0</v>
      </c>
      <c r="L138" s="4">
        <f t="shared" si="14"/>
        <v>0</v>
      </c>
      <c r="M138" s="4">
        <f t="shared" si="14"/>
        <v>0</v>
      </c>
      <c r="N138" s="4"/>
      <c r="O138" s="14">
        <v>0</v>
      </c>
      <c r="P138" s="14">
        <v>-370215.13</v>
      </c>
      <c r="Q138" s="14">
        <v>0</v>
      </c>
      <c r="R138" s="14">
        <v>0</v>
      </c>
      <c r="S138" s="14">
        <v>0</v>
      </c>
      <c r="T138" s="4"/>
      <c r="U138" s="14">
        <v>0</v>
      </c>
      <c r="V138" s="14">
        <v>-271458.98</v>
      </c>
      <c r="W138" s="14">
        <v>0</v>
      </c>
      <c r="X138" s="14">
        <v>0</v>
      </c>
      <c r="Y138" s="14">
        <v>0</v>
      </c>
    </row>
    <row r="139" spans="1:25" ht="12.75">
      <c r="A139" s="5">
        <f t="shared" si="9"/>
        <v>125</v>
      </c>
      <c r="B139" s="15" t="s">
        <v>351</v>
      </c>
      <c r="C139" s="4">
        <f t="shared" si="16"/>
        <v>974462.64</v>
      </c>
      <c r="D139" s="4">
        <f t="shared" si="12"/>
        <v>714521.41</v>
      </c>
      <c r="E139" s="4"/>
      <c r="F139" s="4"/>
      <c r="G139" s="4">
        <f t="shared" si="13"/>
        <v>844492</v>
      </c>
      <c r="H139" s="4"/>
      <c r="I139" s="4">
        <f t="shared" si="14"/>
        <v>0</v>
      </c>
      <c r="J139" s="4">
        <f t="shared" si="14"/>
        <v>844492.025</v>
      </c>
      <c r="K139" s="4">
        <f t="shared" si="14"/>
        <v>0</v>
      </c>
      <c r="L139" s="4">
        <f t="shared" si="14"/>
        <v>0</v>
      </c>
      <c r="M139" s="4">
        <f t="shared" si="14"/>
        <v>0</v>
      </c>
      <c r="N139" s="4"/>
      <c r="O139" s="14">
        <v>0</v>
      </c>
      <c r="P139" s="14">
        <v>974462.64</v>
      </c>
      <c r="Q139" s="14">
        <v>0</v>
      </c>
      <c r="R139" s="14">
        <v>0</v>
      </c>
      <c r="S139" s="14">
        <v>0</v>
      </c>
      <c r="T139" s="4"/>
      <c r="U139" s="14">
        <v>0</v>
      </c>
      <c r="V139" s="14">
        <v>714521.41</v>
      </c>
      <c r="W139" s="14">
        <v>0</v>
      </c>
      <c r="X139" s="14">
        <v>0</v>
      </c>
      <c r="Y139" s="14">
        <v>0</v>
      </c>
    </row>
    <row r="140" spans="1:25" ht="12.75">
      <c r="A140" s="5">
        <f t="shared" si="9"/>
        <v>126</v>
      </c>
      <c r="B140" s="7" t="s">
        <v>352</v>
      </c>
      <c r="C140" s="4">
        <f t="shared" si="16"/>
        <v>0</v>
      </c>
      <c r="D140" s="4">
        <f>SUM(U140:Y140)</f>
        <v>0</v>
      </c>
      <c r="E140" s="4"/>
      <c r="F140" s="4"/>
      <c r="G140" s="4">
        <f>ROUND(SUM(C140:F140)/2,0)</f>
        <v>0</v>
      </c>
      <c r="H140" s="4"/>
      <c r="I140" s="4">
        <f t="shared" si="14"/>
        <v>0</v>
      </c>
      <c r="J140" s="4">
        <f t="shared" si="14"/>
        <v>0</v>
      </c>
      <c r="K140" s="4">
        <f t="shared" si="14"/>
        <v>0</v>
      </c>
      <c r="L140" s="4">
        <f t="shared" si="14"/>
        <v>0</v>
      </c>
      <c r="M140" s="4">
        <f t="shared" si="14"/>
        <v>0</v>
      </c>
      <c r="N140" s="4"/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4"/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ht="12.75">
      <c r="A141" s="5">
        <f t="shared" si="9"/>
        <v>127</v>
      </c>
      <c r="B141" s="7" t="s">
        <v>58</v>
      </c>
      <c r="C141" s="4">
        <f>SUM(O141:S141)</f>
        <v>0</v>
      </c>
      <c r="D141" s="4">
        <f>SUM(U141:Y141)</f>
        <v>0</v>
      </c>
      <c r="E141" s="4"/>
      <c r="F141" s="4"/>
      <c r="G141" s="4">
        <f>ROUND(SUM(C141:F141)/2,0)</f>
        <v>0</v>
      </c>
      <c r="H141" s="4"/>
      <c r="I141" s="4">
        <f aca="true" t="shared" si="17" ref="I141:M191">(O141+U141)/2</f>
        <v>0</v>
      </c>
      <c r="J141" s="4">
        <f t="shared" si="17"/>
        <v>0</v>
      </c>
      <c r="K141" s="4">
        <f t="shared" si="17"/>
        <v>0</v>
      </c>
      <c r="L141" s="4">
        <f t="shared" si="17"/>
        <v>0</v>
      </c>
      <c r="M141" s="4">
        <f t="shared" si="17"/>
        <v>0</v>
      </c>
      <c r="N141" s="4"/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4"/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pans="1:25" ht="12.75">
      <c r="A142" s="5">
        <f t="shared" si="9"/>
        <v>128</v>
      </c>
      <c r="B142" s="7" t="s">
        <v>353</v>
      </c>
      <c r="C142" s="4">
        <f>SUM(O142:S142)</f>
        <v>263365.42</v>
      </c>
      <c r="D142" s="4">
        <f>SUM(U142:Y142)</f>
        <v>124611.94</v>
      </c>
      <c r="E142" s="4"/>
      <c r="F142" s="4"/>
      <c r="G142" s="4">
        <f>ROUND(SUM(C142:F142)/2,0)</f>
        <v>193989</v>
      </c>
      <c r="H142" s="4"/>
      <c r="I142" s="4">
        <f t="shared" si="17"/>
        <v>193988.68</v>
      </c>
      <c r="J142" s="4">
        <f t="shared" si="17"/>
        <v>0</v>
      </c>
      <c r="K142" s="4">
        <f t="shared" si="17"/>
        <v>0</v>
      </c>
      <c r="L142" s="4">
        <f t="shared" si="17"/>
        <v>0</v>
      </c>
      <c r="M142" s="4">
        <f t="shared" si="17"/>
        <v>0</v>
      </c>
      <c r="N142" s="4"/>
      <c r="O142" s="14">
        <v>263365.42</v>
      </c>
      <c r="P142" s="14">
        <v>0</v>
      </c>
      <c r="Q142" s="14">
        <v>0</v>
      </c>
      <c r="R142" s="14">
        <v>0</v>
      </c>
      <c r="S142" s="14">
        <v>0</v>
      </c>
      <c r="T142" s="4"/>
      <c r="U142" s="14">
        <v>124611.94</v>
      </c>
      <c r="V142" s="14">
        <v>0</v>
      </c>
      <c r="W142" s="14">
        <v>0</v>
      </c>
      <c r="X142" s="14">
        <v>0</v>
      </c>
      <c r="Y142" s="14">
        <v>0</v>
      </c>
    </row>
    <row r="143" spans="1:25" ht="12.75">
      <c r="A143" s="5">
        <f t="shared" si="9"/>
        <v>129</v>
      </c>
      <c r="B143" s="7" t="s">
        <v>354</v>
      </c>
      <c r="C143" s="4">
        <f>SUM(O143:S143)</f>
        <v>39570.51</v>
      </c>
      <c r="D143" s="4">
        <f>SUM(U143:Y143)</f>
        <v>1071.64</v>
      </c>
      <c r="E143" s="4"/>
      <c r="F143" s="4"/>
      <c r="G143" s="4">
        <f>ROUND(SUM(C143:F143)/2,0)</f>
        <v>20321</v>
      </c>
      <c r="H143" s="4"/>
      <c r="I143" s="4">
        <f t="shared" si="17"/>
        <v>20321.075</v>
      </c>
      <c r="J143" s="4">
        <f t="shared" si="17"/>
        <v>0</v>
      </c>
      <c r="K143" s="4">
        <f t="shared" si="17"/>
        <v>0</v>
      </c>
      <c r="L143" s="4">
        <f t="shared" si="17"/>
        <v>0</v>
      </c>
      <c r="M143" s="4">
        <f t="shared" si="17"/>
        <v>0</v>
      </c>
      <c r="N143" s="4"/>
      <c r="O143" s="14">
        <v>39570.51</v>
      </c>
      <c r="P143" s="14">
        <v>0</v>
      </c>
      <c r="Q143" s="14">
        <v>0</v>
      </c>
      <c r="R143" s="14">
        <v>0</v>
      </c>
      <c r="S143" s="14">
        <v>0</v>
      </c>
      <c r="T143" s="4"/>
      <c r="U143" s="14">
        <v>1071.64</v>
      </c>
      <c r="V143" s="14">
        <v>0</v>
      </c>
      <c r="W143" s="14">
        <v>0</v>
      </c>
      <c r="X143" s="14">
        <v>0</v>
      </c>
      <c r="Y143" s="14">
        <v>0</v>
      </c>
    </row>
    <row r="144" spans="1:25" ht="12.75">
      <c r="A144" s="5">
        <f aca="true" t="shared" si="18" ref="A144:A207">A143+1</f>
        <v>130</v>
      </c>
      <c r="B144" s="7" t="s">
        <v>355</v>
      </c>
      <c r="C144" s="4">
        <f>SUM(O144:S144)</f>
        <v>-15110.23</v>
      </c>
      <c r="D144" s="4">
        <f>SUM(U144:Y144)</f>
        <v>-448.91</v>
      </c>
      <c r="E144" s="4"/>
      <c r="F144" s="4"/>
      <c r="G144" s="4">
        <f>ROUND(SUM(C144:F144)/2,0)</f>
        <v>-7780</v>
      </c>
      <c r="H144" s="4"/>
      <c r="I144" s="4">
        <f t="shared" si="17"/>
        <v>-7779.57</v>
      </c>
      <c r="J144" s="4">
        <f t="shared" si="17"/>
        <v>0</v>
      </c>
      <c r="K144" s="4">
        <f t="shared" si="17"/>
        <v>0</v>
      </c>
      <c r="L144" s="4">
        <f t="shared" si="17"/>
        <v>0</v>
      </c>
      <c r="M144" s="4">
        <f t="shared" si="17"/>
        <v>0</v>
      </c>
      <c r="N144" s="4"/>
      <c r="O144" s="14">
        <v>-15110.23</v>
      </c>
      <c r="P144" s="14">
        <v>0</v>
      </c>
      <c r="Q144" s="14">
        <v>0</v>
      </c>
      <c r="R144" s="14">
        <v>0</v>
      </c>
      <c r="S144" s="14">
        <v>0</v>
      </c>
      <c r="T144" s="4"/>
      <c r="U144" s="14">
        <v>-448.91</v>
      </c>
      <c r="V144" s="14">
        <v>0</v>
      </c>
      <c r="W144" s="14">
        <v>0</v>
      </c>
      <c r="X144" s="14">
        <v>0</v>
      </c>
      <c r="Y144" s="14">
        <v>0</v>
      </c>
    </row>
    <row r="145" spans="1:25" ht="12.75">
      <c r="A145" s="5">
        <f t="shared" si="18"/>
        <v>131</v>
      </c>
      <c r="B145" s="7" t="s">
        <v>356</v>
      </c>
      <c r="C145" s="4">
        <f aca="true" t="shared" si="19" ref="C145:C150">SUM(O145:S145)</f>
        <v>2327005.05</v>
      </c>
      <c r="D145" s="4">
        <f aca="true" t="shared" si="20" ref="D145:D158">SUM(U145:Y145)</f>
        <v>2431982.71</v>
      </c>
      <c r="E145" s="4"/>
      <c r="F145" s="4"/>
      <c r="G145" s="4">
        <f aca="true" t="shared" si="21" ref="G145:G196">ROUND(SUM(C145:F145)/2,0)</f>
        <v>2379494</v>
      </c>
      <c r="H145" s="4"/>
      <c r="I145" s="4">
        <f t="shared" si="17"/>
        <v>0</v>
      </c>
      <c r="J145" s="4">
        <f t="shared" si="17"/>
        <v>2379493.88</v>
      </c>
      <c r="K145" s="4">
        <f t="shared" si="17"/>
        <v>0</v>
      </c>
      <c r="L145" s="4">
        <f t="shared" si="17"/>
        <v>0</v>
      </c>
      <c r="M145" s="4">
        <f t="shared" si="17"/>
        <v>0</v>
      </c>
      <c r="N145" s="4"/>
      <c r="O145" s="14">
        <v>0</v>
      </c>
      <c r="P145" s="14">
        <v>2327005.05</v>
      </c>
      <c r="Q145" s="14">
        <v>0</v>
      </c>
      <c r="R145" s="14">
        <v>0</v>
      </c>
      <c r="S145" s="14">
        <v>0</v>
      </c>
      <c r="T145" s="4"/>
      <c r="U145" s="14">
        <v>0</v>
      </c>
      <c r="V145" s="14">
        <v>2431982.71</v>
      </c>
      <c r="W145" s="14">
        <v>0</v>
      </c>
      <c r="X145" s="14">
        <v>0</v>
      </c>
      <c r="Y145" s="14">
        <v>0</v>
      </c>
    </row>
    <row r="146" spans="1:25" ht="12.75">
      <c r="A146" s="5">
        <f t="shared" si="18"/>
        <v>132</v>
      </c>
      <c r="B146" s="7" t="s">
        <v>357</v>
      </c>
      <c r="C146" s="4">
        <f t="shared" si="19"/>
        <v>222043.04</v>
      </c>
      <c r="D146" s="4">
        <f t="shared" si="20"/>
        <v>57987.33</v>
      </c>
      <c r="E146" s="4"/>
      <c r="F146" s="4"/>
      <c r="G146" s="4">
        <f t="shared" si="21"/>
        <v>140015</v>
      </c>
      <c r="H146" s="4"/>
      <c r="I146" s="4">
        <f t="shared" si="17"/>
        <v>0</v>
      </c>
      <c r="J146" s="4">
        <f t="shared" si="17"/>
        <v>140015.185</v>
      </c>
      <c r="K146" s="4">
        <f t="shared" si="17"/>
        <v>0</v>
      </c>
      <c r="L146" s="4">
        <f t="shared" si="17"/>
        <v>0</v>
      </c>
      <c r="M146" s="4">
        <f t="shared" si="17"/>
        <v>0</v>
      </c>
      <c r="N146" s="4"/>
      <c r="O146" s="14">
        <v>0</v>
      </c>
      <c r="P146" s="14">
        <v>222043.04</v>
      </c>
      <c r="Q146" s="14">
        <v>0</v>
      </c>
      <c r="R146" s="14">
        <v>0</v>
      </c>
      <c r="S146" s="14">
        <v>0</v>
      </c>
      <c r="T146" s="4"/>
      <c r="U146" s="14">
        <v>0</v>
      </c>
      <c r="V146" s="14">
        <v>57987.33</v>
      </c>
      <c r="W146" s="14">
        <v>0</v>
      </c>
      <c r="X146" s="14">
        <v>0</v>
      </c>
      <c r="Y146" s="14">
        <v>0</v>
      </c>
    </row>
    <row r="147" spans="1:25" ht="12.75">
      <c r="A147" s="5">
        <f t="shared" si="18"/>
        <v>133</v>
      </c>
      <c r="B147" s="7" t="s">
        <v>358</v>
      </c>
      <c r="C147" s="4">
        <f t="shared" si="19"/>
        <v>1741861.41</v>
      </c>
      <c r="D147" s="4">
        <f t="shared" si="20"/>
        <v>524688.66</v>
      </c>
      <c r="E147" s="4"/>
      <c r="F147" s="4"/>
      <c r="G147" s="4">
        <f t="shared" si="21"/>
        <v>1133275</v>
      </c>
      <c r="H147" s="4"/>
      <c r="I147" s="4">
        <f t="shared" si="17"/>
        <v>0</v>
      </c>
      <c r="J147" s="4">
        <f t="shared" si="17"/>
        <v>1133275.035</v>
      </c>
      <c r="K147" s="4">
        <f t="shared" si="17"/>
        <v>0</v>
      </c>
      <c r="L147" s="4">
        <f t="shared" si="17"/>
        <v>0</v>
      </c>
      <c r="M147" s="4">
        <f t="shared" si="17"/>
        <v>0</v>
      </c>
      <c r="N147" s="4"/>
      <c r="O147" s="14">
        <v>0</v>
      </c>
      <c r="P147" s="14">
        <v>1741861.41</v>
      </c>
      <c r="Q147" s="14">
        <v>0</v>
      </c>
      <c r="R147" s="14">
        <v>0</v>
      </c>
      <c r="S147" s="14">
        <v>0</v>
      </c>
      <c r="T147" s="4"/>
      <c r="U147" s="14">
        <v>0</v>
      </c>
      <c r="V147" s="14">
        <v>524688.66</v>
      </c>
      <c r="W147" s="14">
        <v>0</v>
      </c>
      <c r="X147" s="14">
        <v>0</v>
      </c>
      <c r="Y147" s="14">
        <v>0</v>
      </c>
    </row>
    <row r="148" spans="1:25" ht="12.75">
      <c r="A148" s="5">
        <f t="shared" si="18"/>
        <v>134</v>
      </c>
      <c r="B148" s="7" t="s">
        <v>359</v>
      </c>
      <c r="C148" s="4">
        <f t="shared" si="19"/>
        <v>-661762.95</v>
      </c>
      <c r="D148" s="4">
        <f t="shared" si="20"/>
        <v>-199338.23</v>
      </c>
      <c r="E148" s="4"/>
      <c r="F148" s="4"/>
      <c r="G148" s="4">
        <f t="shared" si="21"/>
        <v>-430551</v>
      </c>
      <c r="H148" s="4"/>
      <c r="I148" s="4">
        <f t="shared" si="17"/>
        <v>0</v>
      </c>
      <c r="J148" s="4">
        <f t="shared" si="17"/>
        <v>-430550.58999999997</v>
      </c>
      <c r="K148" s="4">
        <f t="shared" si="17"/>
        <v>0</v>
      </c>
      <c r="L148" s="4">
        <f t="shared" si="17"/>
        <v>0</v>
      </c>
      <c r="M148" s="4">
        <f t="shared" si="17"/>
        <v>0</v>
      </c>
      <c r="N148" s="4"/>
      <c r="O148" s="14">
        <v>0</v>
      </c>
      <c r="P148" s="14">
        <v>-661762.95</v>
      </c>
      <c r="Q148" s="14">
        <v>0</v>
      </c>
      <c r="R148" s="14">
        <v>0</v>
      </c>
      <c r="S148" s="14">
        <v>0</v>
      </c>
      <c r="T148" s="4"/>
      <c r="U148" s="14">
        <v>0</v>
      </c>
      <c r="V148" s="14">
        <v>-199338.23</v>
      </c>
      <c r="W148" s="14">
        <v>0</v>
      </c>
      <c r="X148" s="14">
        <v>0</v>
      </c>
      <c r="Y148" s="14">
        <v>0</v>
      </c>
    </row>
    <row r="149" spans="1:25" ht="12.75">
      <c r="A149" s="5">
        <f t="shared" si="18"/>
        <v>135</v>
      </c>
      <c r="B149" s="7" t="s">
        <v>360</v>
      </c>
      <c r="C149" s="4">
        <f t="shared" si="19"/>
        <v>-1202004.07</v>
      </c>
      <c r="D149" s="4">
        <f t="shared" si="20"/>
        <v>-777767.15</v>
      </c>
      <c r="E149" s="4"/>
      <c r="F149" s="4"/>
      <c r="G149" s="4">
        <f t="shared" si="21"/>
        <v>-989886</v>
      </c>
      <c r="H149" s="4"/>
      <c r="I149" s="4">
        <f t="shared" si="17"/>
        <v>0</v>
      </c>
      <c r="J149" s="4">
        <f t="shared" si="17"/>
        <v>-989885.6100000001</v>
      </c>
      <c r="K149" s="4">
        <f t="shared" si="17"/>
        <v>0</v>
      </c>
      <c r="L149" s="4">
        <f t="shared" si="17"/>
        <v>0</v>
      </c>
      <c r="M149" s="4">
        <f t="shared" si="17"/>
        <v>0</v>
      </c>
      <c r="N149" s="4"/>
      <c r="O149" s="14">
        <v>0</v>
      </c>
      <c r="P149" s="14">
        <v>-1202004.07</v>
      </c>
      <c r="Q149" s="14">
        <v>0</v>
      </c>
      <c r="R149" s="14">
        <v>0</v>
      </c>
      <c r="S149" s="14">
        <v>0</v>
      </c>
      <c r="T149" s="4"/>
      <c r="U149" s="14">
        <v>0</v>
      </c>
      <c r="V149" s="14">
        <v>-777767.15</v>
      </c>
      <c r="W149" s="14">
        <v>0</v>
      </c>
      <c r="X149" s="14">
        <v>0</v>
      </c>
      <c r="Y149" s="14">
        <v>0</v>
      </c>
    </row>
    <row r="150" spans="1:25" ht="12.75">
      <c r="A150" s="5">
        <f t="shared" si="18"/>
        <v>136</v>
      </c>
      <c r="B150" s="7" t="s">
        <v>361</v>
      </c>
      <c r="C150" s="4">
        <f t="shared" si="19"/>
        <v>3419633.27</v>
      </c>
      <c r="D150" s="4">
        <f t="shared" si="20"/>
        <v>2212703.34</v>
      </c>
      <c r="E150" s="4"/>
      <c r="F150" s="4"/>
      <c r="G150" s="4">
        <f t="shared" si="21"/>
        <v>2816168</v>
      </c>
      <c r="H150" s="4"/>
      <c r="I150" s="4">
        <f t="shared" si="17"/>
        <v>0</v>
      </c>
      <c r="J150" s="4">
        <f t="shared" si="17"/>
        <v>2816168.3049999997</v>
      </c>
      <c r="K150" s="4">
        <f t="shared" si="17"/>
        <v>0</v>
      </c>
      <c r="L150" s="4">
        <f t="shared" si="17"/>
        <v>0</v>
      </c>
      <c r="M150" s="4">
        <f t="shared" si="17"/>
        <v>0</v>
      </c>
      <c r="N150" s="4"/>
      <c r="O150" s="14">
        <v>0</v>
      </c>
      <c r="P150" s="14">
        <v>3419633.27</v>
      </c>
      <c r="Q150" s="14">
        <v>0</v>
      </c>
      <c r="R150" s="14">
        <v>0</v>
      </c>
      <c r="S150" s="14">
        <v>0</v>
      </c>
      <c r="T150" s="4"/>
      <c r="U150" s="14">
        <v>0</v>
      </c>
      <c r="V150" s="14">
        <v>2212703.34</v>
      </c>
      <c r="W150" s="14">
        <v>0</v>
      </c>
      <c r="X150" s="14">
        <v>0</v>
      </c>
      <c r="Y150" s="14">
        <v>0</v>
      </c>
    </row>
    <row r="151" spans="1:25" ht="12.75">
      <c r="A151" s="5">
        <f t="shared" si="18"/>
        <v>137</v>
      </c>
      <c r="B151" s="7" t="s">
        <v>362</v>
      </c>
      <c r="C151" s="4">
        <f aca="true" t="shared" si="22" ref="C151:C158">SUM(O151:S151)</f>
        <v>48538.41</v>
      </c>
      <c r="D151" s="4">
        <f t="shared" si="20"/>
        <v>0</v>
      </c>
      <c r="E151" s="4"/>
      <c r="F151" s="4"/>
      <c r="G151" s="4">
        <f t="shared" si="21"/>
        <v>24269</v>
      </c>
      <c r="H151" s="4"/>
      <c r="I151" s="4">
        <f t="shared" si="17"/>
        <v>24269.205</v>
      </c>
      <c r="J151" s="4">
        <f t="shared" si="17"/>
        <v>0</v>
      </c>
      <c r="K151" s="4">
        <f t="shared" si="17"/>
        <v>0</v>
      </c>
      <c r="L151" s="4">
        <f t="shared" si="17"/>
        <v>0</v>
      </c>
      <c r="M151" s="4">
        <f t="shared" si="17"/>
        <v>0</v>
      </c>
      <c r="N151" s="4"/>
      <c r="O151" s="14">
        <v>48538.41</v>
      </c>
      <c r="P151" s="14">
        <v>0</v>
      </c>
      <c r="Q151" s="14">
        <v>0</v>
      </c>
      <c r="R151" s="14">
        <v>0</v>
      </c>
      <c r="S151" s="14">
        <v>0</v>
      </c>
      <c r="T151" s="4"/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ht="12.75">
      <c r="A152" s="5">
        <f t="shared" si="18"/>
        <v>138</v>
      </c>
      <c r="B152" s="7" t="s">
        <v>363</v>
      </c>
      <c r="C152" s="4">
        <f t="shared" si="22"/>
        <v>411944.56</v>
      </c>
      <c r="D152" s="4">
        <f t="shared" si="20"/>
        <v>0</v>
      </c>
      <c r="E152" s="4"/>
      <c r="F152" s="4"/>
      <c r="G152" s="4">
        <f t="shared" si="21"/>
        <v>205972</v>
      </c>
      <c r="H152" s="4"/>
      <c r="I152" s="4">
        <f t="shared" si="17"/>
        <v>205972.28</v>
      </c>
      <c r="J152" s="4">
        <f t="shared" si="17"/>
        <v>0</v>
      </c>
      <c r="K152" s="4">
        <f t="shared" si="17"/>
        <v>0</v>
      </c>
      <c r="L152" s="4">
        <f t="shared" si="17"/>
        <v>0</v>
      </c>
      <c r="M152" s="4">
        <f t="shared" si="17"/>
        <v>0</v>
      </c>
      <c r="N152" s="4"/>
      <c r="O152" s="14">
        <v>411944.56</v>
      </c>
      <c r="P152" s="14">
        <v>0</v>
      </c>
      <c r="Q152" s="14">
        <v>0</v>
      </c>
      <c r="R152" s="14">
        <v>0</v>
      </c>
      <c r="S152" s="14">
        <v>0</v>
      </c>
      <c r="T152" s="4"/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ht="12.75">
      <c r="A153" s="5">
        <f t="shared" si="18"/>
        <v>139</v>
      </c>
      <c r="B153" s="7" t="s">
        <v>364</v>
      </c>
      <c r="C153" s="4">
        <f t="shared" si="22"/>
        <v>133.58</v>
      </c>
      <c r="D153" s="4">
        <f t="shared" si="20"/>
        <v>0</v>
      </c>
      <c r="E153" s="4"/>
      <c r="F153" s="4"/>
      <c r="G153" s="4">
        <f t="shared" si="21"/>
        <v>67</v>
      </c>
      <c r="H153" s="4"/>
      <c r="I153" s="4">
        <f t="shared" si="17"/>
        <v>66.79</v>
      </c>
      <c r="J153" s="4">
        <f t="shared" si="17"/>
        <v>0</v>
      </c>
      <c r="K153" s="4">
        <f t="shared" si="17"/>
        <v>0</v>
      </c>
      <c r="L153" s="4">
        <f t="shared" si="17"/>
        <v>0</v>
      </c>
      <c r="M153" s="4">
        <f t="shared" si="17"/>
        <v>0</v>
      </c>
      <c r="N153" s="4"/>
      <c r="O153" s="14">
        <v>133.58</v>
      </c>
      <c r="P153" s="14">
        <v>0</v>
      </c>
      <c r="Q153" s="14">
        <v>0</v>
      </c>
      <c r="R153" s="14">
        <v>0</v>
      </c>
      <c r="S153" s="14">
        <v>0</v>
      </c>
      <c r="T153" s="4"/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ht="12.75">
      <c r="A154" s="5">
        <f t="shared" si="18"/>
        <v>140</v>
      </c>
      <c r="B154" s="7" t="s">
        <v>365</v>
      </c>
      <c r="C154" s="4">
        <f t="shared" si="22"/>
        <v>-576844.24</v>
      </c>
      <c r="D154" s="4">
        <f t="shared" si="20"/>
        <v>-241600.8</v>
      </c>
      <c r="E154" s="4"/>
      <c r="F154" s="4"/>
      <c r="G154" s="4">
        <f t="shared" si="21"/>
        <v>-409223</v>
      </c>
      <c r="H154" s="4"/>
      <c r="I154" s="4">
        <f t="shared" si="17"/>
        <v>0</v>
      </c>
      <c r="J154" s="4">
        <f t="shared" si="17"/>
        <v>-409222.52</v>
      </c>
      <c r="K154" s="4">
        <f t="shared" si="17"/>
        <v>0</v>
      </c>
      <c r="L154" s="4">
        <f t="shared" si="17"/>
        <v>0</v>
      </c>
      <c r="M154" s="4">
        <f t="shared" si="17"/>
        <v>0</v>
      </c>
      <c r="N154" s="4"/>
      <c r="O154" s="14">
        <v>0</v>
      </c>
      <c r="P154" s="14">
        <v>-576844.24</v>
      </c>
      <c r="Q154" s="14">
        <v>0</v>
      </c>
      <c r="R154" s="14">
        <v>0</v>
      </c>
      <c r="S154" s="14">
        <v>0</v>
      </c>
      <c r="T154" s="4"/>
      <c r="U154" s="14">
        <v>0</v>
      </c>
      <c r="V154" s="14">
        <v>-241600.8</v>
      </c>
      <c r="W154" s="14">
        <v>0</v>
      </c>
      <c r="X154" s="14">
        <v>0</v>
      </c>
      <c r="Y154" s="14">
        <v>0</v>
      </c>
    </row>
    <row r="155" spans="1:25" ht="12.75">
      <c r="A155" s="5">
        <f t="shared" si="18"/>
        <v>141</v>
      </c>
      <c r="B155" s="7" t="s">
        <v>366</v>
      </c>
      <c r="C155" s="4">
        <f t="shared" si="22"/>
        <v>-734266.21</v>
      </c>
      <c r="D155" s="4">
        <f t="shared" si="20"/>
        <v>431071.3</v>
      </c>
      <c r="E155" s="4"/>
      <c r="F155" s="4"/>
      <c r="G155" s="4">
        <f t="shared" si="21"/>
        <v>-151597</v>
      </c>
      <c r="H155" s="4"/>
      <c r="I155" s="4">
        <f t="shared" si="17"/>
        <v>0</v>
      </c>
      <c r="J155" s="4">
        <f t="shared" si="17"/>
        <v>-151597.455</v>
      </c>
      <c r="K155" s="4">
        <f t="shared" si="17"/>
        <v>0</v>
      </c>
      <c r="L155" s="4">
        <f t="shared" si="17"/>
        <v>0</v>
      </c>
      <c r="M155" s="4">
        <f t="shared" si="17"/>
        <v>0</v>
      </c>
      <c r="N155" s="4"/>
      <c r="O155" s="14">
        <v>0</v>
      </c>
      <c r="P155" s="14">
        <v>-734266.21</v>
      </c>
      <c r="Q155" s="14">
        <v>0</v>
      </c>
      <c r="R155" s="14">
        <v>0</v>
      </c>
      <c r="S155" s="14">
        <v>0</v>
      </c>
      <c r="T155" s="4"/>
      <c r="U155" s="14">
        <v>0</v>
      </c>
      <c r="V155" s="14">
        <v>431071.3</v>
      </c>
      <c r="W155" s="14">
        <v>0</v>
      </c>
      <c r="X155" s="14">
        <v>0</v>
      </c>
      <c r="Y155" s="14">
        <v>0</v>
      </c>
    </row>
    <row r="156" spans="1:25" ht="12.75">
      <c r="A156" s="5">
        <f t="shared" si="18"/>
        <v>142</v>
      </c>
      <c r="B156" s="7" t="s">
        <v>367</v>
      </c>
      <c r="C156" s="4">
        <f t="shared" si="22"/>
        <v>159525.1</v>
      </c>
      <c r="D156" s="4">
        <f>SUM(U156:Y156)</f>
        <v>44452.1</v>
      </c>
      <c r="E156" s="4"/>
      <c r="F156" s="4"/>
      <c r="G156" s="4">
        <f t="shared" si="21"/>
        <v>101989</v>
      </c>
      <c r="H156" s="4"/>
      <c r="I156" s="4">
        <f t="shared" si="17"/>
        <v>0</v>
      </c>
      <c r="J156" s="4">
        <f t="shared" si="17"/>
        <v>101988.6</v>
      </c>
      <c r="K156" s="4">
        <f t="shared" si="17"/>
        <v>0</v>
      </c>
      <c r="L156" s="4">
        <f t="shared" si="17"/>
        <v>0</v>
      </c>
      <c r="M156" s="4">
        <f t="shared" si="17"/>
        <v>0</v>
      </c>
      <c r="N156" s="4"/>
      <c r="O156" s="14">
        <v>0</v>
      </c>
      <c r="P156" s="14">
        <v>159525.1</v>
      </c>
      <c r="Q156" s="14">
        <v>0</v>
      </c>
      <c r="R156" s="14">
        <v>0</v>
      </c>
      <c r="S156" s="14">
        <v>0</v>
      </c>
      <c r="T156" s="4"/>
      <c r="U156" s="14">
        <v>0</v>
      </c>
      <c r="V156" s="14">
        <v>44452.1</v>
      </c>
      <c r="W156" s="14">
        <v>0</v>
      </c>
      <c r="X156" s="14">
        <v>0</v>
      </c>
      <c r="Y156" s="14">
        <v>0</v>
      </c>
    </row>
    <row r="157" spans="1:25" ht="12.75">
      <c r="A157" s="5">
        <f t="shared" si="18"/>
        <v>143</v>
      </c>
      <c r="B157" s="7" t="s">
        <v>368</v>
      </c>
      <c r="C157" s="4">
        <f t="shared" si="22"/>
        <v>283758.55</v>
      </c>
      <c r="D157" s="4">
        <f t="shared" si="20"/>
        <v>57474.77</v>
      </c>
      <c r="E157" s="4"/>
      <c r="F157" s="4"/>
      <c r="G157" s="4">
        <f t="shared" si="21"/>
        <v>170617</v>
      </c>
      <c r="H157" s="4"/>
      <c r="I157" s="4">
        <f t="shared" si="17"/>
        <v>0</v>
      </c>
      <c r="J157" s="4">
        <f t="shared" si="17"/>
        <v>170616.66</v>
      </c>
      <c r="K157" s="4">
        <f t="shared" si="17"/>
        <v>0</v>
      </c>
      <c r="L157" s="4">
        <f t="shared" si="17"/>
        <v>0</v>
      </c>
      <c r="M157" s="4">
        <f t="shared" si="17"/>
        <v>0</v>
      </c>
      <c r="N157" s="4"/>
      <c r="O157" s="14">
        <v>0</v>
      </c>
      <c r="P157" s="14">
        <v>283758.55</v>
      </c>
      <c r="Q157" s="14">
        <v>0</v>
      </c>
      <c r="R157" s="14">
        <v>0</v>
      </c>
      <c r="S157" s="14">
        <v>0</v>
      </c>
      <c r="T157" s="4"/>
      <c r="U157" s="14">
        <v>0</v>
      </c>
      <c r="V157" s="14">
        <v>57474.77</v>
      </c>
      <c r="W157" s="14">
        <v>0</v>
      </c>
      <c r="X157" s="14">
        <v>0</v>
      </c>
      <c r="Y157" s="14">
        <v>0</v>
      </c>
    </row>
    <row r="158" spans="1:25" ht="12.75">
      <c r="A158" s="5">
        <f t="shared" si="18"/>
        <v>144</v>
      </c>
      <c r="B158" s="7" t="s">
        <v>369</v>
      </c>
      <c r="C158" s="4">
        <f t="shared" si="22"/>
        <v>997905.66</v>
      </c>
      <c r="D158" s="4">
        <f t="shared" si="20"/>
        <v>509799.25</v>
      </c>
      <c r="E158" s="4"/>
      <c r="F158" s="4"/>
      <c r="G158" s="4">
        <f t="shared" si="21"/>
        <v>753852</v>
      </c>
      <c r="H158" s="4"/>
      <c r="I158" s="4">
        <f t="shared" si="17"/>
        <v>0</v>
      </c>
      <c r="J158" s="4">
        <f t="shared" si="17"/>
        <v>753852.4550000001</v>
      </c>
      <c r="K158" s="4">
        <f t="shared" si="17"/>
        <v>0</v>
      </c>
      <c r="L158" s="4">
        <f t="shared" si="17"/>
        <v>0</v>
      </c>
      <c r="M158" s="4">
        <f t="shared" si="17"/>
        <v>0</v>
      </c>
      <c r="N158" s="4"/>
      <c r="O158" s="14">
        <v>0</v>
      </c>
      <c r="P158" s="14">
        <v>997905.66</v>
      </c>
      <c r="Q158" s="14">
        <v>0</v>
      </c>
      <c r="R158" s="14">
        <v>0</v>
      </c>
      <c r="S158" s="14">
        <v>0</v>
      </c>
      <c r="T158" s="4"/>
      <c r="U158" s="14">
        <v>0</v>
      </c>
      <c r="V158" s="14">
        <v>509799.25</v>
      </c>
      <c r="W158" s="14">
        <v>0</v>
      </c>
      <c r="X158" s="14">
        <v>0</v>
      </c>
      <c r="Y158" s="14">
        <v>0</v>
      </c>
    </row>
    <row r="159" spans="1:25" ht="12.75">
      <c r="A159" s="5">
        <f t="shared" si="18"/>
        <v>145</v>
      </c>
      <c r="B159" s="7" t="s">
        <v>370</v>
      </c>
      <c r="C159" s="4">
        <f>SUM(O159:S159)</f>
        <v>2615055.03</v>
      </c>
      <c r="D159" s="4">
        <f>SUM(U159:Y159)</f>
        <v>8768473.01</v>
      </c>
      <c r="E159" s="4"/>
      <c r="F159" s="4"/>
      <c r="G159" s="4">
        <f t="shared" si="21"/>
        <v>5691764</v>
      </c>
      <c r="H159" s="4"/>
      <c r="I159" s="4">
        <f t="shared" si="17"/>
        <v>5691764.02</v>
      </c>
      <c r="J159" s="4">
        <f t="shared" si="17"/>
        <v>0</v>
      </c>
      <c r="K159" s="4">
        <f t="shared" si="17"/>
        <v>0</v>
      </c>
      <c r="L159" s="4">
        <f t="shared" si="17"/>
        <v>0</v>
      </c>
      <c r="M159" s="4">
        <f t="shared" si="17"/>
        <v>0</v>
      </c>
      <c r="N159" s="4"/>
      <c r="O159" s="14">
        <v>2615055.03</v>
      </c>
      <c r="P159" s="14">
        <v>0</v>
      </c>
      <c r="Q159" s="14">
        <v>0</v>
      </c>
      <c r="R159" s="14">
        <v>0</v>
      </c>
      <c r="S159" s="14">
        <v>0</v>
      </c>
      <c r="T159" s="4"/>
      <c r="U159" s="14">
        <v>8768473.01</v>
      </c>
      <c r="V159" s="14">
        <v>0</v>
      </c>
      <c r="W159" s="14">
        <v>0</v>
      </c>
      <c r="X159" s="14">
        <v>0</v>
      </c>
      <c r="Y159" s="14">
        <v>0</v>
      </c>
    </row>
    <row r="160" spans="1:25" ht="12.75">
      <c r="A160" s="5">
        <f t="shared" si="18"/>
        <v>146</v>
      </c>
      <c r="B160" s="7" t="s">
        <v>371</v>
      </c>
      <c r="C160" s="4">
        <f aca="true" t="shared" si="23" ref="C160:C171">SUM(O160:S160)</f>
        <v>1363928.52</v>
      </c>
      <c r="D160" s="4">
        <f aca="true" t="shared" si="24" ref="D160:D191">SUM(U160:Y160)</f>
        <v>1363928.52</v>
      </c>
      <c r="E160" s="4"/>
      <c r="F160" s="4"/>
      <c r="G160" s="4">
        <f t="shared" si="21"/>
        <v>1363929</v>
      </c>
      <c r="H160" s="4"/>
      <c r="I160" s="4">
        <f t="shared" si="17"/>
        <v>1363928.52</v>
      </c>
      <c r="J160" s="4">
        <f t="shared" si="17"/>
        <v>0</v>
      </c>
      <c r="K160" s="4">
        <f t="shared" si="17"/>
        <v>0</v>
      </c>
      <c r="L160" s="4">
        <f t="shared" si="17"/>
        <v>0</v>
      </c>
      <c r="M160" s="4">
        <f t="shared" si="17"/>
        <v>0</v>
      </c>
      <c r="N160" s="4"/>
      <c r="O160" s="14">
        <v>1363928.52</v>
      </c>
      <c r="P160" s="14">
        <v>0</v>
      </c>
      <c r="Q160" s="14">
        <v>0</v>
      </c>
      <c r="R160" s="14">
        <v>0</v>
      </c>
      <c r="S160" s="14">
        <v>0</v>
      </c>
      <c r="T160" s="4"/>
      <c r="U160" s="14">
        <v>1363928.52</v>
      </c>
      <c r="V160" s="14">
        <v>0</v>
      </c>
      <c r="W160" s="14">
        <v>0</v>
      </c>
      <c r="X160" s="14">
        <v>0</v>
      </c>
      <c r="Y160" s="14">
        <v>0</v>
      </c>
    </row>
    <row r="161" spans="1:25" ht="12.75">
      <c r="A161" s="5">
        <f t="shared" si="18"/>
        <v>147</v>
      </c>
      <c r="B161" s="7" t="s">
        <v>372</v>
      </c>
      <c r="C161" s="4">
        <f t="shared" si="23"/>
        <v>0</v>
      </c>
      <c r="D161" s="4">
        <f t="shared" si="24"/>
        <v>169514.93</v>
      </c>
      <c r="E161" s="4"/>
      <c r="F161" s="4"/>
      <c r="G161" s="4">
        <f t="shared" si="21"/>
        <v>84757</v>
      </c>
      <c r="H161" s="4"/>
      <c r="I161" s="4">
        <f t="shared" si="17"/>
        <v>84757.465</v>
      </c>
      <c r="J161" s="4">
        <f t="shared" si="17"/>
        <v>0</v>
      </c>
      <c r="K161" s="4">
        <f t="shared" si="17"/>
        <v>0</v>
      </c>
      <c r="L161" s="4">
        <f t="shared" si="17"/>
        <v>0</v>
      </c>
      <c r="M161" s="4">
        <f t="shared" si="17"/>
        <v>0</v>
      </c>
      <c r="N161" s="4"/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4"/>
      <c r="U161" s="14">
        <v>169514.93</v>
      </c>
      <c r="V161" s="14">
        <v>0</v>
      </c>
      <c r="W161" s="14">
        <v>0</v>
      </c>
      <c r="X161" s="14">
        <v>0</v>
      </c>
      <c r="Y161" s="14">
        <v>0</v>
      </c>
    </row>
    <row r="162" spans="1:25" ht="12.75">
      <c r="A162" s="5">
        <f t="shared" si="18"/>
        <v>148</v>
      </c>
      <c r="B162" s="7" t="s">
        <v>373</v>
      </c>
      <c r="C162" s="4">
        <f t="shared" si="23"/>
        <v>321326.77</v>
      </c>
      <c r="D162" s="4">
        <f t="shared" si="24"/>
        <v>42378.77</v>
      </c>
      <c r="E162" s="4"/>
      <c r="F162" s="4"/>
      <c r="G162" s="4">
        <f t="shared" si="21"/>
        <v>181853</v>
      </c>
      <c r="H162" s="4"/>
      <c r="I162" s="4">
        <f t="shared" si="17"/>
        <v>181852.77000000002</v>
      </c>
      <c r="J162" s="4">
        <f t="shared" si="17"/>
        <v>0</v>
      </c>
      <c r="K162" s="4">
        <f t="shared" si="17"/>
        <v>0</v>
      </c>
      <c r="L162" s="4">
        <f t="shared" si="17"/>
        <v>0</v>
      </c>
      <c r="M162" s="4">
        <f t="shared" si="17"/>
        <v>0</v>
      </c>
      <c r="N162" s="4"/>
      <c r="O162" s="14">
        <v>321326.77</v>
      </c>
      <c r="P162" s="14">
        <v>0</v>
      </c>
      <c r="Q162" s="14">
        <v>0</v>
      </c>
      <c r="R162" s="14">
        <v>0</v>
      </c>
      <c r="S162" s="14">
        <v>0</v>
      </c>
      <c r="T162" s="4"/>
      <c r="U162" s="14">
        <v>42378.77</v>
      </c>
      <c r="V162" s="14">
        <v>0</v>
      </c>
      <c r="W162" s="14">
        <v>0</v>
      </c>
      <c r="X162" s="14">
        <v>0</v>
      </c>
      <c r="Y162" s="14">
        <v>0</v>
      </c>
    </row>
    <row r="163" spans="1:25" ht="12.75">
      <c r="A163" s="5">
        <f t="shared" si="18"/>
        <v>149</v>
      </c>
      <c r="B163" s="7" t="s">
        <v>374</v>
      </c>
      <c r="C163" s="4">
        <f t="shared" si="23"/>
        <v>0</v>
      </c>
      <c r="D163" s="4">
        <f t="shared" si="24"/>
        <v>123874.45</v>
      </c>
      <c r="E163" s="4"/>
      <c r="F163" s="4"/>
      <c r="G163" s="4">
        <f t="shared" si="21"/>
        <v>61937</v>
      </c>
      <c r="H163" s="4"/>
      <c r="I163" s="4">
        <f t="shared" si="17"/>
        <v>61937.225</v>
      </c>
      <c r="J163" s="4">
        <f t="shared" si="17"/>
        <v>0</v>
      </c>
      <c r="K163" s="4">
        <f t="shared" si="17"/>
        <v>0</v>
      </c>
      <c r="L163" s="4">
        <f t="shared" si="17"/>
        <v>0</v>
      </c>
      <c r="M163" s="4">
        <f t="shared" si="17"/>
        <v>0</v>
      </c>
      <c r="N163" s="4"/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4"/>
      <c r="U163" s="14">
        <v>123874.45</v>
      </c>
      <c r="V163" s="14">
        <v>0</v>
      </c>
      <c r="W163" s="14">
        <v>0</v>
      </c>
      <c r="X163" s="14">
        <v>0</v>
      </c>
      <c r="Y163" s="14">
        <v>0</v>
      </c>
    </row>
    <row r="164" spans="1:25" ht="12.75">
      <c r="A164" s="5">
        <f t="shared" si="18"/>
        <v>150</v>
      </c>
      <c r="B164" s="7" t="s">
        <v>375</v>
      </c>
      <c r="C164" s="4">
        <f t="shared" si="23"/>
        <v>0</v>
      </c>
      <c r="D164" s="4">
        <f t="shared" si="24"/>
        <v>-85790.6</v>
      </c>
      <c r="E164" s="4"/>
      <c r="F164" s="4"/>
      <c r="G164" s="4">
        <f t="shared" si="21"/>
        <v>-42895</v>
      </c>
      <c r="H164" s="4"/>
      <c r="I164" s="4">
        <f t="shared" si="17"/>
        <v>-42895.3</v>
      </c>
      <c r="J164" s="4">
        <f t="shared" si="17"/>
        <v>0</v>
      </c>
      <c r="K164" s="4">
        <f t="shared" si="17"/>
        <v>0</v>
      </c>
      <c r="L164" s="4">
        <f t="shared" si="17"/>
        <v>0</v>
      </c>
      <c r="M164" s="4">
        <f t="shared" si="17"/>
        <v>0</v>
      </c>
      <c r="N164" s="4"/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4"/>
      <c r="U164" s="14">
        <v>-85790.6</v>
      </c>
      <c r="V164" s="14">
        <v>0</v>
      </c>
      <c r="W164" s="14">
        <v>0</v>
      </c>
      <c r="X164" s="14">
        <v>0</v>
      </c>
      <c r="Y164" s="14">
        <v>0</v>
      </c>
    </row>
    <row r="165" spans="1:25" ht="12.75">
      <c r="A165" s="5">
        <f t="shared" si="18"/>
        <v>151</v>
      </c>
      <c r="B165" s="7" t="s">
        <v>376</v>
      </c>
      <c r="C165" s="4">
        <f t="shared" si="23"/>
        <v>326454.81</v>
      </c>
      <c r="D165" s="4">
        <f t="shared" si="24"/>
        <v>30967.65</v>
      </c>
      <c r="E165" s="4"/>
      <c r="F165" s="4"/>
      <c r="G165" s="4">
        <f t="shared" si="21"/>
        <v>178711</v>
      </c>
      <c r="H165" s="4"/>
      <c r="I165" s="4">
        <f t="shared" si="17"/>
        <v>178711.23</v>
      </c>
      <c r="J165" s="4">
        <f t="shared" si="17"/>
        <v>0</v>
      </c>
      <c r="K165" s="4">
        <f t="shared" si="17"/>
        <v>0</v>
      </c>
      <c r="L165" s="4">
        <f t="shared" si="17"/>
        <v>0</v>
      </c>
      <c r="M165" s="4">
        <f t="shared" si="17"/>
        <v>0</v>
      </c>
      <c r="N165" s="4"/>
      <c r="O165" s="14">
        <v>326454.81</v>
      </c>
      <c r="P165" s="14">
        <v>0</v>
      </c>
      <c r="Q165" s="14">
        <v>0</v>
      </c>
      <c r="R165" s="14">
        <v>0</v>
      </c>
      <c r="S165" s="14">
        <v>0</v>
      </c>
      <c r="T165" s="4"/>
      <c r="U165" s="14">
        <v>30967.65</v>
      </c>
      <c r="V165" s="14">
        <v>0</v>
      </c>
      <c r="W165" s="14">
        <v>0</v>
      </c>
      <c r="X165" s="14">
        <v>0</v>
      </c>
      <c r="Y165" s="14">
        <v>0</v>
      </c>
    </row>
    <row r="166" spans="1:25" ht="12.75">
      <c r="A166" s="5">
        <f t="shared" si="18"/>
        <v>152</v>
      </c>
      <c r="B166" s="7" t="s">
        <v>377</v>
      </c>
      <c r="C166" s="4">
        <f t="shared" si="23"/>
        <v>-125847.76</v>
      </c>
      <c r="D166" s="4">
        <f t="shared" si="24"/>
        <v>-21447.65</v>
      </c>
      <c r="E166" s="4"/>
      <c r="F166" s="4"/>
      <c r="G166" s="4">
        <f t="shared" si="21"/>
        <v>-73648</v>
      </c>
      <c r="H166" s="4"/>
      <c r="I166" s="4">
        <f t="shared" si="17"/>
        <v>-73647.705</v>
      </c>
      <c r="J166" s="4">
        <f t="shared" si="17"/>
        <v>0</v>
      </c>
      <c r="K166" s="4">
        <f t="shared" si="17"/>
        <v>0</v>
      </c>
      <c r="L166" s="4">
        <f t="shared" si="17"/>
        <v>0</v>
      </c>
      <c r="M166" s="4">
        <f t="shared" si="17"/>
        <v>0</v>
      </c>
      <c r="N166" s="4"/>
      <c r="O166" s="14">
        <v>-125847.76</v>
      </c>
      <c r="P166" s="14">
        <v>0</v>
      </c>
      <c r="Q166" s="14">
        <v>0</v>
      </c>
      <c r="R166" s="14">
        <v>0</v>
      </c>
      <c r="S166" s="14">
        <v>0</v>
      </c>
      <c r="T166" s="4"/>
      <c r="U166" s="14">
        <v>-21447.65</v>
      </c>
      <c r="V166" s="14">
        <v>0</v>
      </c>
      <c r="W166" s="14">
        <v>0</v>
      </c>
      <c r="X166" s="14">
        <v>0</v>
      </c>
      <c r="Y166" s="14">
        <v>0</v>
      </c>
    </row>
    <row r="167" spans="1:25" ht="12.75">
      <c r="A167" s="5">
        <f t="shared" si="18"/>
        <v>153</v>
      </c>
      <c r="B167" s="7" t="s">
        <v>378</v>
      </c>
      <c r="C167" s="4">
        <f>SUM(O167:S167)</f>
        <v>68064.48</v>
      </c>
      <c r="D167" s="4">
        <f>SUM(U167:Y167)</f>
        <v>136683.43</v>
      </c>
      <c r="E167" s="4"/>
      <c r="F167" s="4"/>
      <c r="G167" s="4">
        <f>ROUND(SUM(C167:F167)/2,0)</f>
        <v>102374</v>
      </c>
      <c r="H167" s="4"/>
      <c r="I167" s="4">
        <f t="shared" si="17"/>
        <v>0</v>
      </c>
      <c r="J167" s="4">
        <f t="shared" si="17"/>
        <v>102373.95499999999</v>
      </c>
      <c r="K167" s="4">
        <f t="shared" si="17"/>
        <v>0</v>
      </c>
      <c r="L167" s="4">
        <f t="shared" si="17"/>
        <v>0</v>
      </c>
      <c r="M167" s="4">
        <f t="shared" si="17"/>
        <v>0</v>
      </c>
      <c r="N167" s="4"/>
      <c r="O167" s="14">
        <v>0</v>
      </c>
      <c r="P167" s="14">
        <v>68064.48</v>
      </c>
      <c r="Q167" s="14">
        <v>0</v>
      </c>
      <c r="R167" s="14">
        <v>0</v>
      </c>
      <c r="S167" s="14">
        <v>0</v>
      </c>
      <c r="T167" s="4"/>
      <c r="U167" s="14">
        <v>0</v>
      </c>
      <c r="V167" s="14">
        <v>136683.43</v>
      </c>
      <c r="W167" s="14">
        <v>0</v>
      </c>
      <c r="X167" s="14">
        <v>0</v>
      </c>
      <c r="Y167" s="14">
        <v>0</v>
      </c>
    </row>
    <row r="168" spans="1:25" ht="12.75">
      <c r="A168" s="5">
        <f t="shared" si="18"/>
        <v>154</v>
      </c>
      <c r="B168" s="7" t="s">
        <v>379</v>
      </c>
      <c r="C168" s="4">
        <f>SUM(O168:S168)</f>
        <v>3596.2</v>
      </c>
      <c r="D168" s="4">
        <f>SUM(U168:Y168)</f>
        <v>9271.64</v>
      </c>
      <c r="E168" s="4"/>
      <c r="F168" s="4"/>
      <c r="G168" s="4">
        <f>ROUND(SUM(C168:F168)/2,0)</f>
        <v>6434</v>
      </c>
      <c r="H168" s="4"/>
      <c r="I168" s="4">
        <f t="shared" si="17"/>
        <v>0</v>
      </c>
      <c r="J168" s="4">
        <f t="shared" si="17"/>
        <v>6433.92</v>
      </c>
      <c r="K168" s="4">
        <f t="shared" si="17"/>
        <v>0</v>
      </c>
      <c r="L168" s="4">
        <f t="shared" si="17"/>
        <v>0</v>
      </c>
      <c r="M168" s="4">
        <f t="shared" si="17"/>
        <v>0</v>
      </c>
      <c r="N168" s="4"/>
      <c r="O168" s="14">
        <v>0</v>
      </c>
      <c r="P168" s="14">
        <v>3596.2</v>
      </c>
      <c r="Q168" s="14">
        <v>0</v>
      </c>
      <c r="R168" s="14">
        <v>0</v>
      </c>
      <c r="S168" s="14">
        <v>0</v>
      </c>
      <c r="T168" s="4"/>
      <c r="U168" s="14">
        <v>0</v>
      </c>
      <c r="V168" s="14">
        <v>9271.64</v>
      </c>
      <c r="W168" s="14">
        <v>0</v>
      </c>
      <c r="X168" s="14">
        <v>0</v>
      </c>
      <c r="Y168" s="14">
        <v>0</v>
      </c>
    </row>
    <row r="169" spans="1:25" ht="12.75">
      <c r="A169" s="5">
        <f t="shared" si="18"/>
        <v>155</v>
      </c>
      <c r="B169" s="7" t="s">
        <v>380</v>
      </c>
      <c r="C169" s="4">
        <f>SUM(O169:S169)</f>
        <v>-975.87</v>
      </c>
      <c r="D169" s="4">
        <f>SUM(U169:Y169)</f>
        <v>-3641.73</v>
      </c>
      <c r="E169" s="4"/>
      <c r="F169" s="4"/>
      <c r="G169" s="4">
        <f>ROUND(SUM(C169:F169)/2,0)</f>
        <v>-2309</v>
      </c>
      <c r="H169" s="4"/>
      <c r="I169" s="4">
        <f t="shared" si="17"/>
        <v>0</v>
      </c>
      <c r="J169" s="4">
        <f t="shared" si="17"/>
        <v>-2308.8</v>
      </c>
      <c r="K169" s="4">
        <f t="shared" si="17"/>
        <v>0</v>
      </c>
      <c r="L169" s="4">
        <f t="shared" si="17"/>
        <v>0</v>
      </c>
      <c r="M169" s="4">
        <f t="shared" si="17"/>
        <v>0</v>
      </c>
      <c r="N169" s="4"/>
      <c r="O169" s="14">
        <v>0</v>
      </c>
      <c r="P169" s="14">
        <v>-975.87</v>
      </c>
      <c r="Q169" s="14">
        <v>0</v>
      </c>
      <c r="R169" s="14">
        <v>0</v>
      </c>
      <c r="S169" s="14">
        <v>0</v>
      </c>
      <c r="T169" s="4"/>
      <c r="U169" s="14">
        <v>0</v>
      </c>
      <c r="V169" s="14">
        <v>-3641.73</v>
      </c>
      <c r="W169" s="14">
        <v>0</v>
      </c>
      <c r="X169" s="14">
        <v>0</v>
      </c>
      <c r="Y169" s="14">
        <v>0</v>
      </c>
    </row>
    <row r="170" spans="1:25" ht="12.75">
      <c r="A170" s="5">
        <f t="shared" si="18"/>
        <v>156</v>
      </c>
      <c r="B170" s="7" t="s">
        <v>381</v>
      </c>
      <c r="C170" s="4">
        <f>SUM(O170:S170)</f>
        <v>5859.02</v>
      </c>
      <c r="D170" s="4">
        <f>SUM(U170:Y170)</f>
        <v>0</v>
      </c>
      <c r="E170" s="4"/>
      <c r="F170" s="4"/>
      <c r="G170" s="4">
        <f>ROUND(SUM(C170:F170)/2,0)</f>
        <v>2930</v>
      </c>
      <c r="H170" s="4"/>
      <c r="I170" s="4">
        <f t="shared" si="17"/>
        <v>0</v>
      </c>
      <c r="J170" s="4">
        <f t="shared" si="17"/>
        <v>0</v>
      </c>
      <c r="K170" s="4">
        <f t="shared" si="17"/>
        <v>0</v>
      </c>
      <c r="L170" s="4">
        <f t="shared" si="17"/>
        <v>2929.51</v>
      </c>
      <c r="M170" s="4">
        <f t="shared" si="17"/>
        <v>0</v>
      </c>
      <c r="N170" s="4"/>
      <c r="O170" s="14">
        <v>0</v>
      </c>
      <c r="P170" s="14">
        <v>0</v>
      </c>
      <c r="Q170" s="14">
        <v>0</v>
      </c>
      <c r="R170" s="14">
        <v>5859.02</v>
      </c>
      <c r="S170" s="14">
        <v>0</v>
      </c>
      <c r="T170" s="4"/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ht="12.75">
      <c r="A171" s="5">
        <f t="shared" si="18"/>
        <v>157</v>
      </c>
      <c r="B171" s="7" t="s">
        <v>23</v>
      </c>
      <c r="C171" s="4">
        <f t="shared" si="23"/>
        <v>9180735.299999999</v>
      </c>
      <c r="D171" s="4">
        <f t="shared" si="24"/>
        <v>9028354.75</v>
      </c>
      <c r="E171" s="4"/>
      <c r="F171" s="4"/>
      <c r="G171" s="4">
        <f t="shared" si="21"/>
        <v>9104545</v>
      </c>
      <c r="H171" s="4"/>
      <c r="I171" s="4">
        <f t="shared" si="17"/>
        <v>7147951.125</v>
      </c>
      <c r="J171" s="4">
        <f t="shared" si="17"/>
        <v>693906.15</v>
      </c>
      <c r="K171" s="4">
        <f t="shared" si="17"/>
        <v>97051.85</v>
      </c>
      <c r="L171" s="4">
        <f t="shared" si="17"/>
        <v>1165635.9</v>
      </c>
      <c r="M171" s="4">
        <f t="shared" si="17"/>
        <v>0</v>
      </c>
      <c r="N171" s="4"/>
      <c r="O171" s="14">
        <v>7018878.3</v>
      </c>
      <c r="P171" s="14">
        <v>724714.55</v>
      </c>
      <c r="Q171" s="14">
        <v>110390.35</v>
      </c>
      <c r="R171" s="14">
        <v>1326752.1</v>
      </c>
      <c r="S171" s="14">
        <v>0</v>
      </c>
      <c r="T171" s="4"/>
      <c r="U171" s="14">
        <v>7277023.95</v>
      </c>
      <c r="V171" s="14">
        <v>663097.75</v>
      </c>
      <c r="W171" s="14">
        <v>83713.35</v>
      </c>
      <c r="X171" s="14">
        <v>1004519.7</v>
      </c>
      <c r="Y171" s="14">
        <v>0</v>
      </c>
    </row>
    <row r="172" spans="1:25" ht="12.75">
      <c r="A172" s="5">
        <f t="shared" si="18"/>
        <v>158</v>
      </c>
      <c r="B172" s="8" t="s">
        <v>22</v>
      </c>
      <c r="C172" s="4">
        <f aca="true" t="shared" si="25" ref="C172:C191">SUM(O172:S172)</f>
        <v>14712228.93</v>
      </c>
      <c r="D172" s="4">
        <f t="shared" si="24"/>
        <v>11557744.73</v>
      </c>
      <c r="E172" s="4"/>
      <c r="F172" s="4"/>
      <c r="G172" s="4">
        <f t="shared" si="21"/>
        <v>13134987</v>
      </c>
      <c r="H172" s="4"/>
      <c r="I172" s="4">
        <f t="shared" si="17"/>
        <v>1960301.38</v>
      </c>
      <c r="J172" s="4">
        <f t="shared" si="17"/>
        <v>5037493.675</v>
      </c>
      <c r="K172" s="4">
        <f t="shared" si="17"/>
        <v>1644019.4849999999</v>
      </c>
      <c r="L172" s="4">
        <f t="shared" si="17"/>
        <v>4493172.29</v>
      </c>
      <c r="M172" s="4">
        <f t="shared" si="17"/>
        <v>0</v>
      </c>
      <c r="N172" s="4"/>
      <c r="O172" s="14">
        <v>2145118.88</v>
      </c>
      <c r="P172" s="14">
        <v>5685409.3</v>
      </c>
      <c r="Q172" s="14">
        <v>1813149.46</v>
      </c>
      <c r="R172" s="14">
        <v>5068551.29</v>
      </c>
      <c r="S172" s="14">
        <v>0</v>
      </c>
      <c r="T172" s="4"/>
      <c r="U172" s="14">
        <v>1775483.88</v>
      </c>
      <c r="V172" s="14">
        <v>4389578.05</v>
      </c>
      <c r="W172" s="14">
        <v>1474889.51</v>
      </c>
      <c r="X172" s="14">
        <v>3917793.29</v>
      </c>
      <c r="Y172" s="14">
        <v>0</v>
      </c>
    </row>
    <row r="173" spans="1:25" ht="12.75">
      <c r="A173" s="5">
        <f t="shared" si="18"/>
        <v>159</v>
      </c>
      <c r="B173" s="8" t="s">
        <v>382</v>
      </c>
      <c r="C173" s="4">
        <f t="shared" si="25"/>
        <v>177681959.69</v>
      </c>
      <c r="D173" s="4">
        <f t="shared" si="24"/>
        <v>169338709.39</v>
      </c>
      <c r="E173" s="4"/>
      <c r="F173" s="4"/>
      <c r="G173" s="4">
        <f t="shared" si="21"/>
        <v>173510335</v>
      </c>
      <c r="H173" s="4"/>
      <c r="I173" s="4">
        <f t="shared" si="17"/>
        <v>0</v>
      </c>
      <c r="J173" s="4">
        <f t="shared" si="17"/>
        <v>173510334.54</v>
      </c>
      <c r="K173" s="4">
        <f t="shared" si="17"/>
        <v>0</v>
      </c>
      <c r="L173" s="4">
        <f t="shared" si="17"/>
        <v>0</v>
      </c>
      <c r="M173" s="4">
        <f t="shared" si="17"/>
        <v>0</v>
      </c>
      <c r="N173" s="4"/>
      <c r="O173" s="14">
        <v>0</v>
      </c>
      <c r="P173" s="14">
        <v>177681959.69</v>
      </c>
      <c r="Q173" s="14">
        <v>0</v>
      </c>
      <c r="R173" s="14">
        <v>0</v>
      </c>
      <c r="S173" s="14">
        <v>0</v>
      </c>
      <c r="T173" s="4"/>
      <c r="U173" s="14">
        <v>0</v>
      </c>
      <c r="V173" s="14">
        <v>169338709.39</v>
      </c>
      <c r="W173" s="14">
        <v>0</v>
      </c>
      <c r="X173" s="14">
        <v>0</v>
      </c>
      <c r="Y173" s="14">
        <v>0</v>
      </c>
    </row>
    <row r="174" spans="1:25" ht="12.75">
      <c r="A174" s="5">
        <f t="shared" si="18"/>
        <v>160</v>
      </c>
      <c r="B174" s="7" t="s">
        <v>383</v>
      </c>
      <c r="C174" s="4">
        <f t="shared" si="25"/>
        <v>-173814992.32</v>
      </c>
      <c r="D174" s="4">
        <f t="shared" si="24"/>
        <v>-149043186.89</v>
      </c>
      <c r="E174" s="4"/>
      <c r="F174" s="4"/>
      <c r="G174" s="4">
        <f t="shared" si="21"/>
        <v>-161429090</v>
      </c>
      <c r="H174" s="4"/>
      <c r="I174" s="4">
        <f t="shared" si="17"/>
        <v>0</v>
      </c>
      <c r="J174" s="4">
        <f t="shared" si="17"/>
        <v>-161429089.605</v>
      </c>
      <c r="K174" s="4">
        <f t="shared" si="17"/>
        <v>0</v>
      </c>
      <c r="L174" s="4">
        <f t="shared" si="17"/>
        <v>0</v>
      </c>
      <c r="M174" s="4">
        <f t="shared" si="17"/>
        <v>0</v>
      </c>
      <c r="N174" s="4"/>
      <c r="O174" s="14">
        <v>0</v>
      </c>
      <c r="P174" s="14">
        <v>-173814992.32</v>
      </c>
      <c r="Q174" s="14">
        <v>0</v>
      </c>
      <c r="R174" s="14">
        <v>0</v>
      </c>
      <c r="S174" s="14">
        <v>0</v>
      </c>
      <c r="T174" s="4"/>
      <c r="U174" s="14">
        <v>0</v>
      </c>
      <c r="V174" s="14">
        <v>-149043186.89</v>
      </c>
      <c r="W174" s="14">
        <v>0</v>
      </c>
      <c r="X174" s="14">
        <v>0</v>
      </c>
      <c r="Y174" s="14">
        <v>0</v>
      </c>
    </row>
    <row r="175" spans="1:25" ht="12.75">
      <c r="A175" s="5">
        <f t="shared" si="18"/>
        <v>161</v>
      </c>
      <c r="B175" s="8" t="s">
        <v>384</v>
      </c>
      <c r="C175" s="4">
        <f t="shared" si="25"/>
        <v>196376913.76</v>
      </c>
      <c r="D175" s="4">
        <f t="shared" si="24"/>
        <v>166721853.71</v>
      </c>
      <c r="E175" s="4"/>
      <c r="F175" s="4"/>
      <c r="G175" s="4">
        <f t="shared" si="21"/>
        <v>181549384</v>
      </c>
      <c r="H175" s="4"/>
      <c r="I175" s="4">
        <f t="shared" si="17"/>
        <v>0</v>
      </c>
      <c r="J175" s="4">
        <f t="shared" si="17"/>
        <v>181549383.735</v>
      </c>
      <c r="K175" s="4">
        <f t="shared" si="17"/>
        <v>0</v>
      </c>
      <c r="L175" s="4">
        <f t="shared" si="17"/>
        <v>0</v>
      </c>
      <c r="M175" s="4">
        <f t="shared" si="17"/>
        <v>0</v>
      </c>
      <c r="N175" s="4"/>
      <c r="O175" s="14">
        <v>0</v>
      </c>
      <c r="P175" s="14">
        <v>196376913.76</v>
      </c>
      <c r="Q175" s="14">
        <v>0</v>
      </c>
      <c r="R175" s="14">
        <v>0</v>
      </c>
      <c r="S175" s="14">
        <v>0</v>
      </c>
      <c r="T175" s="4"/>
      <c r="U175" s="14">
        <v>0</v>
      </c>
      <c r="V175" s="14">
        <v>166721853.71</v>
      </c>
      <c r="W175" s="14">
        <v>0</v>
      </c>
      <c r="X175" s="14">
        <v>0</v>
      </c>
      <c r="Y175" s="14">
        <v>0</v>
      </c>
    </row>
    <row r="176" spans="1:25" ht="12.75">
      <c r="A176" s="5">
        <f t="shared" si="18"/>
        <v>162</v>
      </c>
      <c r="B176" s="7" t="s">
        <v>385</v>
      </c>
      <c r="C176" s="4">
        <f t="shared" si="25"/>
        <v>-189354309.86</v>
      </c>
      <c r="D176" s="4">
        <f t="shared" si="24"/>
        <v>-163573190.25</v>
      </c>
      <c r="E176" s="4"/>
      <c r="F176" s="4"/>
      <c r="G176" s="4">
        <f t="shared" si="21"/>
        <v>-176463750</v>
      </c>
      <c r="H176" s="4"/>
      <c r="I176" s="4">
        <f t="shared" si="17"/>
        <v>0</v>
      </c>
      <c r="J176" s="4">
        <f t="shared" si="17"/>
        <v>-176463750.055</v>
      </c>
      <c r="K176" s="4">
        <f t="shared" si="17"/>
        <v>0</v>
      </c>
      <c r="L176" s="4">
        <f t="shared" si="17"/>
        <v>0</v>
      </c>
      <c r="M176" s="4">
        <f t="shared" si="17"/>
        <v>0</v>
      </c>
      <c r="N176" s="4"/>
      <c r="O176" s="14">
        <v>0</v>
      </c>
      <c r="P176" s="14">
        <v>-189354309.86</v>
      </c>
      <c r="Q176" s="14">
        <v>0</v>
      </c>
      <c r="R176" s="14">
        <v>0</v>
      </c>
      <c r="S176" s="14">
        <v>0</v>
      </c>
      <c r="T176" s="4"/>
      <c r="U176" s="14">
        <v>0</v>
      </c>
      <c r="V176" s="14">
        <v>-163573190.25</v>
      </c>
      <c r="W176" s="14">
        <v>0</v>
      </c>
      <c r="X176" s="14">
        <v>0</v>
      </c>
      <c r="Y176" s="14">
        <v>0</v>
      </c>
    </row>
    <row r="177" spans="1:25" ht="12.75">
      <c r="A177" s="5">
        <f t="shared" si="18"/>
        <v>163</v>
      </c>
      <c r="B177" s="7" t="s">
        <v>386</v>
      </c>
      <c r="C177" s="4">
        <f t="shared" si="25"/>
        <v>629408643.86</v>
      </c>
      <c r="D177" s="4">
        <f t="shared" si="24"/>
        <v>625662871.95</v>
      </c>
      <c r="E177" s="4"/>
      <c r="F177" s="4"/>
      <c r="G177" s="4">
        <f t="shared" si="21"/>
        <v>627535758</v>
      </c>
      <c r="H177" s="4"/>
      <c r="I177" s="4">
        <f t="shared" si="17"/>
        <v>0</v>
      </c>
      <c r="J177" s="4">
        <f t="shared" si="17"/>
        <v>627535757.905</v>
      </c>
      <c r="K177" s="4">
        <f t="shared" si="17"/>
        <v>0</v>
      </c>
      <c r="L177" s="4">
        <f t="shared" si="17"/>
        <v>0</v>
      </c>
      <c r="M177" s="4">
        <f t="shared" si="17"/>
        <v>0</v>
      </c>
      <c r="N177" s="4"/>
      <c r="O177" s="14">
        <v>0</v>
      </c>
      <c r="P177" s="14">
        <v>629408643.86</v>
      </c>
      <c r="Q177" s="14">
        <v>0</v>
      </c>
      <c r="R177" s="14">
        <v>0</v>
      </c>
      <c r="S177" s="14">
        <v>0</v>
      </c>
      <c r="T177" s="4"/>
      <c r="U177" s="14">
        <v>0</v>
      </c>
      <c r="V177" s="14">
        <v>625662871.95</v>
      </c>
      <c r="W177" s="14">
        <v>0</v>
      </c>
      <c r="X177" s="14">
        <v>0</v>
      </c>
      <c r="Y177" s="14">
        <v>0</v>
      </c>
    </row>
    <row r="178" spans="1:25" ht="12.75">
      <c r="A178" s="5">
        <f t="shared" si="18"/>
        <v>164</v>
      </c>
      <c r="B178" s="8" t="s">
        <v>387</v>
      </c>
      <c r="C178" s="4">
        <f t="shared" si="25"/>
        <v>2552356.35</v>
      </c>
      <c r="D178" s="4">
        <f t="shared" si="24"/>
        <v>10339841.96</v>
      </c>
      <c r="E178" s="4"/>
      <c r="F178" s="4"/>
      <c r="G178" s="4">
        <f t="shared" si="21"/>
        <v>6446099</v>
      </c>
      <c r="H178" s="4"/>
      <c r="I178" s="4">
        <f t="shared" si="17"/>
        <v>0</v>
      </c>
      <c r="J178" s="4">
        <f t="shared" si="17"/>
        <v>6446099.155</v>
      </c>
      <c r="K178" s="4">
        <f t="shared" si="17"/>
        <v>0</v>
      </c>
      <c r="L178" s="4">
        <f t="shared" si="17"/>
        <v>0</v>
      </c>
      <c r="M178" s="4">
        <f t="shared" si="17"/>
        <v>0</v>
      </c>
      <c r="N178" s="4"/>
      <c r="O178" s="14">
        <v>0</v>
      </c>
      <c r="P178" s="14">
        <v>2552356.35</v>
      </c>
      <c r="Q178" s="14">
        <v>0</v>
      </c>
      <c r="R178" s="14">
        <v>0</v>
      </c>
      <c r="S178" s="14">
        <v>0</v>
      </c>
      <c r="T178" s="4"/>
      <c r="U178" s="14">
        <v>0</v>
      </c>
      <c r="V178" s="14">
        <v>10339841.96</v>
      </c>
      <c r="W178" s="14">
        <v>0</v>
      </c>
      <c r="X178" s="14">
        <v>0</v>
      </c>
      <c r="Y178" s="14">
        <v>0</v>
      </c>
    </row>
    <row r="179" spans="1:25" ht="12.75">
      <c r="A179" s="5">
        <f t="shared" si="18"/>
        <v>165</v>
      </c>
      <c r="B179" s="8" t="s">
        <v>388</v>
      </c>
      <c r="C179" s="4">
        <f t="shared" si="25"/>
        <v>6820323.78</v>
      </c>
      <c r="D179" s="4">
        <f t="shared" si="24"/>
        <v>2964361.42</v>
      </c>
      <c r="E179" s="4"/>
      <c r="F179" s="4"/>
      <c r="G179" s="4">
        <f t="shared" si="21"/>
        <v>4892343</v>
      </c>
      <c r="H179" s="4"/>
      <c r="I179" s="4">
        <f t="shared" si="17"/>
        <v>0</v>
      </c>
      <c r="J179" s="4">
        <f t="shared" si="17"/>
        <v>4892342.6</v>
      </c>
      <c r="K179" s="4">
        <f t="shared" si="17"/>
        <v>0</v>
      </c>
      <c r="L179" s="4">
        <f t="shared" si="17"/>
        <v>0</v>
      </c>
      <c r="M179" s="4">
        <f t="shared" si="17"/>
        <v>0</v>
      </c>
      <c r="N179" s="4"/>
      <c r="O179" s="14">
        <v>0</v>
      </c>
      <c r="P179" s="14">
        <v>6820323.78</v>
      </c>
      <c r="Q179" s="14">
        <v>0</v>
      </c>
      <c r="R179" s="14">
        <v>0</v>
      </c>
      <c r="S179" s="14">
        <v>0</v>
      </c>
      <c r="T179" s="4"/>
      <c r="U179" s="14">
        <v>0</v>
      </c>
      <c r="V179" s="14">
        <v>2964361.42</v>
      </c>
      <c r="W179" s="14">
        <v>0</v>
      </c>
      <c r="X179" s="14">
        <v>0</v>
      </c>
      <c r="Y179" s="14">
        <v>0</v>
      </c>
    </row>
    <row r="180" spans="1:25" ht="12.75">
      <c r="A180" s="5">
        <f t="shared" si="18"/>
        <v>166</v>
      </c>
      <c r="B180" s="8" t="s">
        <v>389</v>
      </c>
      <c r="C180" s="4">
        <f t="shared" si="25"/>
        <v>-0.15</v>
      </c>
      <c r="D180" s="4">
        <f t="shared" si="24"/>
        <v>-0.15</v>
      </c>
      <c r="E180" s="4"/>
      <c r="F180" s="4"/>
      <c r="G180" s="4">
        <f t="shared" si="21"/>
        <v>0</v>
      </c>
      <c r="H180" s="4"/>
      <c r="I180" s="4">
        <f t="shared" si="17"/>
        <v>0</v>
      </c>
      <c r="J180" s="4">
        <f t="shared" si="17"/>
        <v>-0.15</v>
      </c>
      <c r="K180" s="4">
        <f t="shared" si="17"/>
        <v>0</v>
      </c>
      <c r="L180" s="4">
        <f t="shared" si="17"/>
        <v>0</v>
      </c>
      <c r="M180" s="4">
        <f t="shared" si="17"/>
        <v>0</v>
      </c>
      <c r="N180" s="4"/>
      <c r="O180" s="14">
        <v>0</v>
      </c>
      <c r="P180" s="14">
        <v>-0.15</v>
      </c>
      <c r="Q180" s="14">
        <v>0</v>
      </c>
      <c r="R180" s="14">
        <v>0</v>
      </c>
      <c r="S180" s="14">
        <v>0</v>
      </c>
      <c r="T180" s="4"/>
      <c r="U180" s="14">
        <v>0</v>
      </c>
      <c r="V180" s="14">
        <v>-0.15</v>
      </c>
      <c r="W180" s="14">
        <v>0</v>
      </c>
      <c r="X180" s="14">
        <v>0</v>
      </c>
      <c r="Y180" s="14">
        <v>0</v>
      </c>
    </row>
    <row r="181" spans="1:25" ht="12.75">
      <c r="A181" s="5">
        <f t="shared" si="18"/>
        <v>167</v>
      </c>
      <c r="B181" s="8" t="s">
        <v>21</v>
      </c>
      <c r="C181" s="4">
        <f t="shared" si="25"/>
        <v>3613843.38</v>
      </c>
      <c r="D181" s="4">
        <f t="shared" si="24"/>
        <v>3979742.84</v>
      </c>
      <c r="E181" s="4"/>
      <c r="F181" s="4"/>
      <c r="G181" s="4">
        <f t="shared" si="21"/>
        <v>3796793</v>
      </c>
      <c r="H181" s="4"/>
      <c r="I181" s="4">
        <f t="shared" si="17"/>
        <v>707672.81</v>
      </c>
      <c r="J181" s="4">
        <f t="shared" si="17"/>
        <v>1669112.8250000002</v>
      </c>
      <c r="K181" s="4">
        <f t="shared" si="17"/>
        <v>656976.19</v>
      </c>
      <c r="L181" s="4">
        <f t="shared" si="17"/>
        <v>763031.2849999999</v>
      </c>
      <c r="M181" s="4">
        <f t="shared" si="17"/>
        <v>0</v>
      </c>
      <c r="N181" s="4"/>
      <c r="O181" s="14">
        <v>653708.52</v>
      </c>
      <c r="P181" s="14">
        <v>1599037.36</v>
      </c>
      <c r="Q181" s="14">
        <v>629251.15</v>
      </c>
      <c r="R181" s="14">
        <v>731846.35</v>
      </c>
      <c r="S181" s="14">
        <v>0</v>
      </c>
      <c r="T181" s="4"/>
      <c r="U181" s="14">
        <v>761637.1</v>
      </c>
      <c r="V181" s="14">
        <v>1739188.29</v>
      </c>
      <c r="W181" s="14">
        <v>684701.23</v>
      </c>
      <c r="X181" s="14">
        <v>794216.22</v>
      </c>
      <c r="Y181" s="14">
        <v>0</v>
      </c>
    </row>
    <row r="182" spans="1:25" ht="12.75">
      <c r="A182" s="5">
        <f t="shared" si="18"/>
        <v>168</v>
      </c>
      <c r="B182" s="8" t="s">
        <v>390</v>
      </c>
      <c r="C182" s="4">
        <f t="shared" si="25"/>
        <v>507035.12</v>
      </c>
      <c r="D182" s="4">
        <f t="shared" si="24"/>
        <v>579468.82</v>
      </c>
      <c r="E182" s="4"/>
      <c r="F182" s="4"/>
      <c r="G182" s="4">
        <f t="shared" si="21"/>
        <v>543252</v>
      </c>
      <c r="H182" s="4"/>
      <c r="I182" s="4">
        <f t="shared" si="17"/>
        <v>543251.97</v>
      </c>
      <c r="J182" s="4">
        <f t="shared" si="17"/>
        <v>0</v>
      </c>
      <c r="K182" s="4">
        <f t="shared" si="17"/>
        <v>0</v>
      </c>
      <c r="L182" s="4">
        <f t="shared" si="17"/>
        <v>0</v>
      </c>
      <c r="M182" s="4">
        <f t="shared" si="17"/>
        <v>0</v>
      </c>
      <c r="N182" s="4"/>
      <c r="O182" s="14">
        <v>507035.12</v>
      </c>
      <c r="P182" s="14">
        <v>0</v>
      </c>
      <c r="Q182" s="14">
        <v>0</v>
      </c>
      <c r="R182" s="14">
        <v>0</v>
      </c>
      <c r="S182" s="14">
        <v>0</v>
      </c>
      <c r="T182" s="4"/>
      <c r="U182" s="14">
        <v>579468.82</v>
      </c>
      <c r="V182" s="14">
        <v>0</v>
      </c>
      <c r="W182" s="14">
        <v>0</v>
      </c>
      <c r="X182" s="14">
        <v>0</v>
      </c>
      <c r="Y182" s="14">
        <v>0</v>
      </c>
    </row>
    <row r="183" spans="1:25" ht="12.75">
      <c r="A183" s="5">
        <f t="shared" si="18"/>
        <v>169</v>
      </c>
      <c r="B183" s="8" t="s">
        <v>391</v>
      </c>
      <c r="C183" s="4">
        <f t="shared" si="25"/>
        <v>7715.2</v>
      </c>
      <c r="D183" s="4">
        <f t="shared" si="24"/>
        <v>7715.2</v>
      </c>
      <c r="E183" s="4"/>
      <c r="F183" s="4"/>
      <c r="G183" s="4">
        <f t="shared" si="21"/>
        <v>7715</v>
      </c>
      <c r="H183" s="4"/>
      <c r="I183" s="4">
        <f t="shared" si="17"/>
        <v>-0.27</v>
      </c>
      <c r="J183" s="4">
        <f t="shared" si="17"/>
        <v>0.31</v>
      </c>
      <c r="K183" s="4">
        <f t="shared" si="17"/>
        <v>0.37</v>
      </c>
      <c r="L183" s="4">
        <f t="shared" si="17"/>
        <v>7714.79</v>
      </c>
      <c r="M183" s="4">
        <f t="shared" si="17"/>
        <v>0</v>
      </c>
      <c r="N183" s="4"/>
      <c r="O183" s="14">
        <v>-0.27</v>
      </c>
      <c r="P183" s="14">
        <v>0.31</v>
      </c>
      <c r="Q183" s="14">
        <v>0.37</v>
      </c>
      <c r="R183" s="14">
        <v>7714.79</v>
      </c>
      <c r="S183" s="14">
        <v>0</v>
      </c>
      <c r="T183" s="4"/>
      <c r="U183" s="14">
        <v>-0.27</v>
      </c>
      <c r="V183" s="14">
        <v>0.31</v>
      </c>
      <c r="W183" s="14">
        <v>0.37</v>
      </c>
      <c r="X183" s="14">
        <v>7714.79</v>
      </c>
      <c r="Y183" s="14">
        <v>0</v>
      </c>
    </row>
    <row r="184" spans="1:25" ht="12.75">
      <c r="A184" s="5">
        <f t="shared" si="18"/>
        <v>170</v>
      </c>
      <c r="B184" s="8" t="s">
        <v>392</v>
      </c>
      <c r="C184" s="4">
        <f t="shared" si="25"/>
        <v>-7714.95</v>
      </c>
      <c r="D184" s="4">
        <f t="shared" si="24"/>
        <v>-7714.95</v>
      </c>
      <c r="E184" s="4"/>
      <c r="F184" s="4"/>
      <c r="G184" s="4">
        <f t="shared" si="21"/>
        <v>-7715</v>
      </c>
      <c r="H184" s="4"/>
      <c r="I184" s="4">
        <f t="shared" si="17"/>
        <v>0</v>
      </c>
      <c r="J184" s="4">
        <f t="shared" si="17"/>
        <v>0.05</v>
      </c>
      <c r="K184" s="4">
        <f t="shared" si="17"/>
        <v>0</v>
      </c>
      <c r="L184" s="4">
        <f t="shared" si="17"/>
        <v>-7715</v>
      </c>
      <c r="M184" s="4">
        <f t="shared" si="17"/>
        <v>0</v>
      </c>
      <c r="N184" s="4"/>
      <c r="O184" s="14">
        <v>0</v>
      </c>
      <c r="P184" s="14">
        <v>0.05</v>
      </c>
      <c r="Q184" s="14">
        <v>0</v>
      </c>
      <c r="R184" s="14">
        <v>-7715</v>
      </c>
      <c r="S184" s="14">
        <v>0</v>
      </c>
      <c r="T184" s="4"/>
      <c r="U184" s="14">
        <v>0</v>
      </c>
      <c r="V184" s="14">
        <v>0.05</v>
      </c>
      <c r="W184" s="14">
        <v>0</v>
      </c>
      <c r="X184" s="14">
        <v>-7715</v>
      </c>
      <c r="Y184" s="14">
        <v>0</v>
      </c>
    </row>
    <row r="185" spans="1:25" ht="12.75">
      <c r="A185" s="5">
        <f t="shared" si="18"/>
        <v>171</v>
      </c>
      <c r="B185" s="7" t="s">
        <v>20</v>
      </c>
      <c r="C185" s="4">
        <f t="shared" si="25"/>
        <v>-211271.23</v>
      </c>
      <c r="D185" s="4">
        <f t="shared" si="24"/>
        <v>-211271.23</v>
      </c>
      <c r="E185" s="4"/>
      <c r="F185" s="4"/>
      <c r="G185" s="4">
        <f t="shared" si="21"/>
        <v>-211271</v>
      </c>
      <c r="H185" s="4"/>
      <c r="I185" s="4">
        <f t="shared" si="17"/>
        <v>0.38</v>
      </c>
      <c r="J185" s="4">
        <f t="shared" si="17"/>
        <v>-0.24</v>
      </c>
      <c r="K185" s="4">
        <f t="shared" si="17"/>
        <v>-45000.37</v>
      </c>
      <c r="L185" s="4">
        <f t="shared" si="17"/>
        <v>-166271</v>
      </c>
      <c r="M185" s="4">
        <f t="shared" si="17"/>
        <v>0</v>
      </c>
      <c r="N185" s="4"/>
      <c r="O185" s="14">
        <v>0.38</v>
      </c>
      <c r="P185" s="14">
        <v>-0.24</v>
      </c>
      <c r="Q185" s="14">
        <v>-45000.37</v>
      </c>
      <c r="R185" s="14">
        <v>-166271</v>
      </c>
      <c r="S185" s="14">
        <v>0</v>
      </c>
      <c r="T185" s="4"/>
      <c r="U185" s="14">
        <v>0.38</v>
      </c>
      <c r="V185" s="14">
        <v>-0.24</v>
      </c>
      <c r="W185" s="14">
        <v>-45000.37</v>
      </c>
      <c r="X185" s="14">
        <v>-166271</v>
      </c>
      <c r="Y185" s="14">
        <v>0</v>
      </c>
    </row>
    <row r="186" spans="1:25" ht="12.75">
      <c r="A186" s="5">
        <f t="shared" si="18"/>
        <v>172</v>
      </c>
      <c r="B186" s="7" t="s">
        <v>393</v>
      </c>
      <c r="C186" s="4">
        <f t="shared" si="25"/>
        <v>-10881016.61</v>
      </c>
      <c r="D186" s="4">
        <f t="shared" si="24"/>
        <v>-10881016.61</v>
      </c>
      <c r="E186" s="4"/>
      <c r="F186" s="4"/>
      <c r="G186" s="4">
        <f t="shared" si="21"/>
        <v>-10881017</v>
      </c>
      <c r="H186" s="4"/>
      <c r="I186" s="4">
        <f t="shared" si="17"/>
        <v>-2186654.4</v>
      </c>
      <c r="J186" s="4">
        <f t="shared" si="17"/>
        <v>-4704448.35</v>
      </c>
      <c r="K186" s="4">
        <f t="shared" si="17"/>
        <v>-523074.3</v>
      </c>
      <c r="L186" s="4">
        <f t="shared" si="17"/>
        <v>-3466839.56</v>
      </c>
      <c r="M186" s="4">
        <f t="shared" si="17"/>
        <v>0</v>
      </c>
      <c r="N186" s="4"/>
      <c r="O186" s="14">
        <v>-2186654.4</v>
      </c>
      <c r="P186" s="14">
        <v>-4704448.35</v>
      </c>
      <c r="Q186" s="14">
        <v>-523074.3</v>
      </c>
      <c r="R186" s="14">
        <v>-3466839.56</v>
      </c>
      <c r="S186" s="14">
        <v>0</v>
      </c>
      <c r="T186" s="4"/>
      <c r="U186" s="14">
        <v>-2186654.4</v>
      </c>
      <c r="V186" s="14">
        <v>-4704448.35</v>
      </c>
      <c r="W186" s="14">
        <v>-523074.3</v>
      </c>
      <c r="X186" s="14">
        <v>-3466839.56</v>
      </c>
      <c r="Y186" s="14">
        <v>0</v>
      </c>
    </row>
    <row r="187" spans="1:25" ht="12.75">
      <c r="A187" s="5">
        <f t="shared" si="18"/>
        <v>173</v>
      </c>
      <c r="B187" s="7" t="s">
        <v>19</v>
      </c>
      <c r="C187" s="4">
        <f>SUM(O187:S187)</f>
        <v>3213424.49</v>
      </c>
      <c r="D187" s="4">
        <f>SUM(U187:Y187)</f>
        <v>3570471.66</v>
      </c>
      <c r="E187" s="4"/>
      <c r="F187" s="4"/>
      <c r="G187" s="4">
        <f t="shared" si="21"/>
        <v>3391948</v>
      </c>
      <c r="H187" s="4"/>
      <c r="I187" s="4">
        <f t="shared" si="17"/>
        <v>682565</v>
      </c>
      <c r="J187" s="4">
        <f t="shared" si="17"/>
        <v>1217822.4849999999</v>
      </c>
      <c r="K187" s="4">
        <f t="shared" si="17"/>
        <v>234889.04499999998</v>
      </c>
      <c r="L187" s="4">
        <f t="shared" si="17"/>
        <v>1256671.545</v>
      </c>
      <c r="M187" s="4">
        <f t="shared" si="17"/>
        <v>0</v>
      </c>
      <c r="N187" s="4"/>
      <c r="O187" s="14">
        <v>646640.53</v>
      </c>
      <c r="P187" s="14">
        <v>1153726.56</v>
      </c>
      <c r="Q187" s="14">
        <v>222526.47</v>
      </c>
      <c r="R187" s="14">
        <v>1190530.93</v>
      </c>
      <c r="S187" s="14">
        <v>0</v>
      </c>
      <c r="T187" s="4"/>
      <c r="U187" s="14">
        <v>718489.47</v>
      </c>
      <c r="V187" s="14">
        <v>1281918.41</v>
      </c>
      <c r="W187" s="14">
        <v>247251.62</v>
      </c>
      <c r="X187" s="14">
        <v>1322812.16</v>
      </c>
      <c r="Y187" s="14">
        <v>0</v>
      </c>
    </row>
    <row r="188" spans="1:25" ht="12.75">
      <c r="A188" s="5">
        <f t="shared" si="18"/>
        <v>174</v>
      </c>
      <c r="B188" s="8" t="s">
        <v>394</v>
      </c>
      <c r="C188" s="4">
        <f t="shared" si="25"/>
        <v>0.04999999999999999</v>
      </c>
      <c r="D188" s="4">
        <f t="shared" si="24"/>
        <v>0.04999999999999999</v>
      </c>
      <c r="E188" s="4"/>
      <c r="F188" s="4"/>
      <c r="G188" s="4">
        <f t="shared" si="21"/>
        <v>0</v>
      </c>
      <c r="H188" s="4"/>
      <c r="I188" s="4">
        <f t="shared" si="17"/>
        <v>-0.05</v>
      </c>
      <c r="J188" s="4">
        <f t="shared" si="17"/>
        <v>-0.1</v>
      </c>
      <c r="K188" s="4">
        <f t="shared" si="17"/>
        <v>0.1</v>
      </c>
      <c r="L188" s="4">
        <f t="shared" si="17"/>
        <v>0.1</v>
      </c>
      <c r="M188" s="4">
        <f t="shared" si="17"/>
        <v>0</v>
      </c>
      <c r="N188" s="4"/>
      <c r="O188" s="14">
        <v>-0.05</v>
      </c>
      <c r="P188" s="14">
        <v>-0.1</v>
      </c>
      <c r="Q188" s="14">
        <v>0.1</v>
      </c>
      <c r="R188" s="14">
        <v>0.1</v>
      </c>
      <c r="S188" s="14">
        <v>0</v>
      </c>
      <c r="T188" s="4"/>
      <c r="U188" s="14">
        <v>-0.05</v>
      </c>
      <c r="V188" s="14">
        <v>-0.1</v>
      </c>
      <c r="W188" s="14">
        <v>0.1</v>
      </c>
      <c r="X188" s="14">
        <v>0.1</v>
      </c>
      <c r="Y188" s="14">
        <v>0</v>
      </c>
    </row>
    <row r="189" spans="1:25" ht="12.75">
      <c r="A189" s="5">
        <f t="shared" si="18"/>
        <v>175</v>
      </c>
      <c r="B189" s="8" t="s">
        <v>395</v>
      </c>
      <c r="C189" s="4">
        <f t="shared" si="25"/>
        <v>0.06999999999999995</v>
      </c>
      <c r="D189" s="4">
        <f t="shared" si="24"/>
        <v>0.06999999999999995</v>
      </c>
      <c r="E189" s="4"/>
      <c r="F189" s="4"/>
      <c r="G189" s="4">
        <f t="shared" si="21"/>
        <v>0</v>
      </c>
      <c r="H189" s="4"/>
      <c r="I189" s="4">
        <f t="shared" si="17"/>
        <v>-0.39</v>
      </c>
      <c r="J189" s="4">
        <f t="shared" si="17"/>
        <v>0</v>
      </c>
      <c r="K189" s="4">
        <f t="shared" si="17"/>
        <v>0.6</v>
      </c>
      <c r="L189" s="4">
        <f t="shared" si="17"/>
        <v>-0.14</v>
      </c>
      <c r="M189" s="4">
        <f t="shared" si="17"/>
        <v>0</v>
      </c>
      <c r="N189" s="4"/>
      <c r="O189" s="14">
        <v>-0.39</v>
      </c>
      <c r="P189" s="14">
        <v>0</v>
      </c>
      <c r="Q189" s="14">
        <v>0.6</v>
      </c>
      <c r="R189" s="14">
        <v>-0.14</v>
      </c>
      <c r="S189" s="14">
        <v>0</v>
      </c>
      <c r="T189" s="4"/>
      <c r="U189" s="14">
        <v>-0.39</v>
      </c>
      <c r="V189" s="14">
        <v>0</v>
      </c>
      <c r="W189" s="14">
        <v>0.6</v>
      </c>
      <c r="X189" s="14">
        <v>-0.14</v>
      </c>
      <c r="Y189" s="14">
        <v>0</v>
      </c>
    </row>
    <row r="190" spans="1:25" ht="12.75">
      <c r="A190" s="5">
        <f t="shared" si="18"/>
        <v>176</v>
      </c>
      <c r="B190" s="8" t="s">
        <v>18</v>
      </c>
      <c r="C190" s="4">
        <f t="shared" si="25"/>
        <v>2123929.23</v>
      </c>
      <c r="D190" s="4">
        <f t="shared" si="24"/>
        <v>2096778.9800000002</v>
      </c>
      <c r="E190" s="4"/>
      <c r="F190" s="4"/>
      <c r="G190" s="4">
        <f t="shared" si="21"/>
        <v>2110354</v>
      </c>
      <c r="H190" s="4"/>
      <c r="I190" s="4">
        <f t="shared" si="17"/>
        <v>571944.12</v>
      </c>
      <c r="J190" s="4">
        <f t="shared" si="17"/>
        <v>870559.8999999999</v>
      </c>
      <c r="K190" s="4">
        <f t="shared" si="17"/>
        <v>86457.315</v>
      </c>
      <c r="L190" s="4">
        <f t="shared" si="17"/>
        <v>581392.77</v>
      </c>
      <c r="M190" s="4">
        <f t="shared" si="17"/>
        <v>0</v>
      </c>
      <c r="N190" s="4"/>
      <c r="O190" s="14">
        <v>537285.54</v>
      </c>
      <c r="P190" s="14">
        <v>831791.94</v>
      </c>
      <c r="Q190" s="14">
        <v>92042.02</v>
      </c>
      <c r="R190" s="14">
        <v>662809.73</v>
      </c>
      <c r="S190" s="14">
        <v>0</v>
      </c>
      <c r="T190" s="4"/>
      <c r="U190" s="14">
        <v>606602.7</v>
      </c>
      <c r="V190" s="14">
        <v>909327.86</v>
      </c>
      <c r="W190" s="14">
        <v>80872.61</v>
      </c>
      <c r="X190" s="14">
        <v>499975.81</v>
      </c>
      <c r="Y190" s="14">
        <v>0</v>
      </c>
    </row>
    <row r="191" spans="1:25" ht="12.75">
      <c r="A191" s="5">
        <f t="shared" si="18"/>
        <v>177</v>
      </c>
      <c r="B191" s="7" t="s">
        <v>396</v>
      </c>
      <c r="C191" s="4">
        <f t="shared" si="25"/>
        <v>177550.8</v>
      </c>
      <c r="D191" s="4">
        <f t="shared" si="24"/>
        <v>177550.8</v>
      </c>
      <c r="E191" s="4"/>
      <c r="F191" s="4"/>
      <c r="G191" s="4">
        <f t="shared" si="21"/>
        <v>177551</v>
      </c>
      <c r="H191" s="4"/>
      <c r="I191" s="4">
        <f t="shared" si="17"/>
        <v>177550.8</v>
      </c>
      <c r="J191" s="4">
        <f t="shared" si="17"/>
        <v>0</v>
      </c>
      <c r="K191" s="4">
        <f t="shared" si="17"/>
        <v>0</v>
      </c>
      <c r="L191" s="4">
        <f t="shared" si="17"/>
        <v>0</v>
      </c>
      <c r="M191" s="4">
        <f t="shared" si="17"/>
        <v>0</v>
      </c>
      <c r="N191" s="4"/>
      <c r="O191" s="14">
        <v>177550.8</v>
      </c>
      <c r="P191" s="14">
        <v>0</v>
      </c>
      <c r="Q191" s="14">
        <v>0</v>
      </c>
      <c r="R191" s="14">
        <v>0</v>
      </c>
      <c r="S191" s="14">
        <v>0</v>
      </c>
      <c r="T191" s="4"/>
      <c r="U191" s="14">
        <v>177550.8</v>
      </c>
      <c r="V191" s="14">
        <v>0</v>
      </c>
      <c r="W191" s="14">
        <v>0</v>
      </c>
      <c r="X191" s="14">
        <v>0</v>
      </c>
      <c r="Y191" s="14">
        <v>0</v>
      </c>
    </row>
    <row r="192" spans="1:25" ht="12.75">
      <c r="A192" s="5">
        <f t="shared" si="18"/>
        <v>178</v>
      </c>
      <c r="B192" s="8" t="s">
        <v>16</v>
      </c>
      <c r="C192" s="9">
        <v>1241705.72</v>
      </c>
      <c r="D192" s="9">
        <f>2593695.52+0.08</f>
        <v>2593695.6</v>
      </c>
      <c r="E192" s="4">
        <f aca="true" t="shared" si="26" ref="E192:F195">-C192</f>
        <v>-1241705.72</v>
      </c>
      <c r="F192" s="4">
        <f t="shared" si="26"/>
        <v>-2593695.6</v>
      </c>
      <c r="G192" s="4">
        <f t="shared" si="21"/>
        <v>0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>
      <c r="A193" s="5">
        <f t="shared" si="18"/>
        <v>179</v>
      </c>
      <c r="B193" s="8" t="s">
        <v>15</v>
      </c>
      <c r="C193" s="9">
        <v>93716667.42</v>
      </c>
      <c r="D193" s="9">
        <v>97449386.96</v>
      </c>
      <c r="E193" s="4">
        <f t="shared" si="26"/>
        <v>-93716667.42</v>
      </c>
      <c r="F193" s="4">
        <f t="shared" si="26"/>
        <v>-97449386.96</v>
      </c>
      <c r="G193" s="4">
        <f t="shared" si="21"/>
        <v>0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>
      <c r="A194" s="5">
        <f t="shared" si="18"/>
        <v>180</v>
      </c>
      <c r="B194" s="8" t="s">
        <v>14</v>
      </c>
      <c r="C194" s="9">
        <v>310</v>
      </c>
      <c r="D194" s="9">
        <v>310</v>
      </c>
      <c r="E194" s="4">
        <f t="shared" si="26"/>
        <v>-310</v>
      </c>
      <c r="F194" s="4">
        <f t="shared" si="26"/>
        <v>-310</v>
      </c>
      <c r="G194" s="4">
        <f t="shared" si="21"/>
        <v>0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>
      <c r="A195" s="5">
        <f t="shared" si="18"/>
        <v>181</v>
      </c>
      <c r="B195" s="8" t="s">
        <v>397</v>
      </c>
      <c r="C195" s="9">
        <v>0</v>
      </c>
      <c r="D195" s="9">
        <v>0</v>
      </c>
      <c r="E195" s="4">
        <f t="shared" si="26"/>
        <v>0</v>
      </c>
      <c r="F195" s="4">
        <f t="shared" si="26"/>
        <v>0</v>
      </c>
      <c r="G195" s="4">
        <f t="shared" si="21"/>
        <v>0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>
      <c r="A196" s="5">
        <f t="shared" si="18"/>
        <v>182</v>
      </c>
      <c r="B196" s="7" t="s">
        <v>398</v>
      </c>
      <c r="C196" s="9">
        <v>0</v>
      </c>
      <c r="D196" s="9">
        <v>123061.86</v>
      </c>
      <c r="E196" s="4">
        <f>-C196</f>
        <v>0</v>
      </c>
      <c r="F196" s="4">
        <f>-D196</f>
        <v>-123061.86</v>
      </c>
      <c r="G196" s="4">
        <f t="shared" si="21"/>
        <v>0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>
      <c r="A197" s="5">
        <f t="shared" si="18"/>
        <v>183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3.5" thickBot="1">
      <c r="A198" s="5">
        <f t="shared" si="18"/>
        <v>184</v>
      </c>
      <c r="B198" s="8"/>
      <c r="C198" s="6">
        <f>SUM(C89:C197)</f>
        <v>852775120.2999998</v>
      </c>
      <c r="D198" s="6">
        <f>SUM(D89:D197)</f>
        <v>877353504.5000001</v>
      </c>
      <c r="E198" s="6">
        <f>SUM(E89:E197)</f>
        <v>-94958683.14</v>
      </c>
      <c r="F198" s="6">
        <f>SUM(F89:F197)</f>
        <v>-100166454.41999999</v>
      </c>
      <c r="G198" s="6">
        <f>SUM(G89:G197)</f>
        <v>767501745</v>
      </c>
      <c r="H198" s="4"/>
      <c r="I198" s="6">
        <f>SUM(I89:I197)</f>
        <v>52399195.46500001</v>
      </c>
      <c r="J198" s="6">
        <f>SUM(J89:J197)</f>
        <v>676491785.2549999</v>
      </c>
      <c r="K198" s="6">
        <f>SUM(K89:K197)</f>
        <v>6741333.1549999975</v>
      </c>
      <c r="L198" s="6">
        <f>SUM(L89:L197)</f>
        <v>31869429.744999994</v>
      </c>
      <c r="M198" s="6">
        <f>SUM(M89:M197)</f>
        <v>0</v>
      </c>
      <c r="N198" s="4"/>
      <c r="O198" s="6">
        <f>SUM(O89:O197)</f>
        <v>45932094.080000006</v>
      </c>
      <c r="P198" s="6">
        <f>SUM(P89:P197)</f>
        <v>672701555.4699999</v>
      </c>
      <c r="Q198" s="6">
        <f>SUM(Q89:Q197)</f>
        <v>7075907.269999999</v>
      </c>
      <c r="R198" s="6">
        <f>SUM(R89:R197)</f>
        <v>32106880.340000004</v>
      </c>
      <c r="S198" s="6">
        <f>SUM(S89:S197)</f>
        <v>0</v>
      </c>
      <c r="T198" s="4"/>
      <c r="U198" s="6">
        <f>SUM(U89:U197)</f>
        <v>58866296.850000024</v>
      </c>
      <c r="V198" s="6">
        <f>SUM(V89:V197)</f>
        <v>680282015.0399998</v>
      </c>
      <c r="W198" s="6">
        <f>SUM(W89:W197)</f>
        <v>6406759.04</v>
      </c>
      <c r="X198" s="6">
        <f>SUM(X89:X197)</f>
        <v>31631979.149999995</v>
      </c>
      <c r="Y198" s="6">
        <f>SUM(Y89:Y197)</f>
        <v>0</v>
      </c>
    </row>
    <row r="199" spans="1:25" ht="13.5" thickTop="1">
      <c r="A199" s="5">
        <f t="shared" si="18"/>
        <v>185</v>
      </c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4"/>
      <c r="U199" s="3"/>
      <c r="V199" s="3"/>
      <c r="W199" s="3"/>
      <c r="X199" s="3"/>
      <c r="Y199" s="3"/>
    </row>
    <row r="200" spans="1:25" ht="12.75">
      <c r="A200" s="5">
        <f t="shared" si="18"/>
        <v>186</v>
      </c>
      <c r="C200" s="4"/>
      <c r="D200" s="4" t="s">
        <v>101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>
      <c r="A201" s="5">
        <f t="shared" si="18"/>
        <v>187</v>
      </c>
      <c r="B201" s="7" t="s">
        <v>10</v>
      </c>
      <c r="C201" s="4">
        <f>SUM(O201:S201)</f>
        <v>0</v>
      </c>
      <c r="D201" s="4">
        <f>SUM(U201:Y201)</f>
        <v>0</v>
      </c>
      <c r="E201" s="4"/>
      <c r="F201" s="4"/>
      <c r="G201" s="4">
        <f>ROUND(SUM(C201:F201)/2,0)</f>
        <v>0</v>
      </c>
      <c r="H201" s="4"/>
      <c r="I201" s="4">
        <f>(O201+U201)/2</f>
        <v>0</v>
      </c>
      <c r="J201" s="4">
        <f>(P201+V201)/2</f>
        <v>0</v>
      </c>
      <c r="K201" s="4">
        <f>(Q201+W201)/2</f>
        <v>0</v>
      </c>
      <c r="L201" s="4">
        <f>(R201+X201)/2</f>
        <v>0</v>
      </c>
      <c r="M201" s="4">
        <f>(S201+Y201)/2</f>
        <v>0</v>
      </c>
      <c r="N201" s="4"/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4"/>
      <c r="U201" s="9">
        <v>0</v>
      </c>
      <c r="V201" s="9">
        <v>0</v>
      </c>
      <c r="W201" s="9">
        <v>0</v>
      </c>
      <c r="X201" s="9">
        <v>0</v>
      </c>
      <c r="Y201" s="9">
        <v>0</v>
      </c>
    </row>
    <row r="202" spans="1:25" ht="12.75">
      <c r="A202" s="5">
        <f t="shared" si="18"/>
        <v>188</v>
      </c>
      <c r="B202" s="8" t="s">
        <v>9</v>
      </c>
      <c r="C202" s="9">
        <v>124749199</v>
      </c>
      <c r="D202" s="9">
        <v>139058159</v>
      </c>
      <c r="E202" s="4">
        <f>-C202</f>
        <v>-124749199</v>
      </c>
      <c r="F202" s="4">
        <f>-D202</f>
        <v>-139058159</v>
      </c>
      <c r="G202" s="4">
        <f>ROUND(SUM(C202:F202)/2,0)</f>
        <v>0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6" ht="12.75">
      <c r="A203" s="5">
        <f t="shared" si="18"/>
        <v>189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thickBot="1">
      <c r="A204" s="5">
        <f t="shared" si="18"/>
        <v>190</v>
      </c>
      <c r="B204" s="8" t="s">
        <v>8</v>
      </c>
      <c r="C204" s="6">
        <f>SUM(C198:C203)</f>
        <v>977524319.2999998</v>
      </c>
      <c r="D204" s="6">
        <f>SUM(D198:D203)</f>
        <v>1016411663.5000001</v>
      </c>
      <c r="E204" s="6">
        <f>SUM(E198:E203)</f>
        <v>-219707882.14</v>
      </c>
      <c r="F204" s="6">
        <f>SUM(F198:F203)</f>
        <v>-239224613.42</v>
      </c>
      <c r="G204" s="6">
        <f>SUM(G198:G203)</f>
        <v>767501745</v>
      </c>
      <c r="H204" s="4"/>
      <c r="I204" s="6">
        <f>SUM(I198:I203)</f>
        <v>52399195.46500001</v>
      </c>
      <c r="J204" s="6">
        <f>SUM(J198:J203)</f>
        <v>676491785.2549999</v>
      </c>
      <c r="K204" s="6">
        <f>SUM(K198:K203)</f>
        <v>6741333.1549999975</v>
      </c>
      <c r="L204" s="6">
        <f>SUM(L198:L203)</f>
        <v>31869429.744999994</v>
      </c>
      <c r="M204" s="6">
        <f>SUM(M198:M203)</f>
        <v>0</v>
      </c>
      <c r="N204" s="4"/>
      <c r="O204" s="6">
        <f>SUM(O198:O203)</f>
        <v>45932094.080000006</v>
      </c>
      <c r="P204" s="6">
        <f>SUM(P198:P203)</f>
        <v>672701555.4699999</v>
      </c>
      <c r="Q204" s="6">
        <f>SUM(Q198:Q203)</f>
        <v>7075907.269999999</v>
      </c>
      <c r="R204" s="6">
        <f>SUM(R198:R203)</f>
        <v>32106880.340000004</v>
      </c>
      <c r="S204" s="6">
        <f>SUM(S198:S203)</f>
        <v>0</v>
      </c>
      <c r="T204" s="4"/>
      <c r="U204" s="6">
        <f>SUM(U198:U203)</f>
        <v>58866296.850000024</v>
      </c>
      <c r="V204" s="6">
        <f>SUM(V198:V203)</f>
        <v>680282015.0399998</v>
      </c>
      <c r="W204" s="6">
        <f>SUM(W198:W203)</f>
        <v>6406759.04</v>
      </c>
      <c r="X204" s="6">
        <f>SUM(X198:X203)</f>
        <v>31631979.149999995</v>
      </c>
      <c r="Y204" s="6">
        <f>SUM(Y198:Y203)</f>
        <v>0</v>
      </c>
      <c r="Z204" s="4"/>
    </row>
    <row r="205" spans="1:26" ht="13.5" thickTop="1">
      <c r="A205" s="5">
        <f t="shared" si="18"/>
        <v>191</v>
      </c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4"/>
      <c r="U205" s="3"/>
      <c r="V205" s="3"/>
      <c r="W205" s="3"/>
      <c r="X205" s="3"/>
      <c r="Y205" s="3"/>
      <c r="Z205" s="4"/>
    </row>
    <row r="206" spans="1:25" ht="12.75">
      <c r="A206" s="5">
        <f t="shared" si="18"/>
        <v>192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>
      <c r="A207" s="5">
        <f t="shared" si="18"/>
        <v>193</v>
      </c>
      <c r="B207" s="8" t="s">
        <v>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>
      <c r="A208" s="5">
        <f aca="true" t="shared" si="27" ref="A208:A219">A207+1</f>
        <v>194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>
      <c r="A209" s="5">
        <f t="shared" si="27"/>
        <v>195</v>
      </c>
      <c r="B209" s="8" t="s">
        <v>6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>
      <c r="A210" s="5">
        <f t="shared" si="27"/>
        <v>196</v>
      </c>
      <c r="C210" s="4"/>
      <c r="D210" s="10"/>
      <c r="E210" s="10"/>
      <c r="F210" s="10"/>
      <c r="G210" s="10"/>
      <c r="H210" s="4"/>
      <c r="I210" s="10"/>
      <c r="J210" s="10"/>
      <c r="K210" s="10"/>
      <c r="L210" s="10"/>
      <c r="M210" s="10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>
      <c r="A211" s="5">
        <f t="shared" si="27"/>
        <v>197</v>
      </c>
      <c r="B211" s="8" t="s">
        <v>5</v>
      </c>
      <c r="C211" s="4"/>
      <c r="D211" s="10"/>
      <c r="E211" s="10"/>
      <c r="F211" s="10"/>
      <c r="G211" s="10"/>
      <c r="H211" s="4"/>
      <c r="I211" s="10"/>
      <c r="J211" s="10"/>
      <c r="K211" s="10"/>
      <c r="L211" s="10"/>
      <c r="M211" s="10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>
      <c r="A212" s="5">
        <f t="shared" si="27"/>
        <v>198</v>
      </c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>
      <c r="A213" s="5">
        <f t="shared" si="27"/>
        <v>199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>
      <c r="A214" s="5">
        <f t="shared" si="27"/>
        <v>200</v>
      </c>
      <c r="B214" s="7" t="s">
        <v>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>
      <c r="A215" s="5">
        <f t="shared" si="27"/>
        <v>201</v>
      </c>
      <c r="B215" s="7" t="s">
        <v>3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>
      <c r="A216" s="5">
        <f t="shared" si="27"/>
        <v>202</v>
      </c>
      <c r="B216" s="8" t="s">
        <v>399</v>
      </c>
      <c r="C216" s="4">
        <f>SUM(O216:S216)</f>
        <v>0</v>
      </c>
      <c r="D216" s="4">
        <f>SUM(U216:Y216)</f>
        <v>0</v>
      </c>
      <c r="E216" s="4"/>
      <c r="F216" s="4"/>
      <c r="G216" s="4">
        <f>ROUND(SUM(C216:F216)/2,0)</f>
        <v>0</v>
      </c>
      <c r="H216" s="4"/>
      <c r="I216" s="4">
        <f>(O216+U216)/2</f>
        <v>0</v>
      </c>
      <c r="J216" s="4">
        <f>(P216+V216)/2</f>
        <v>0</v>
      </c>
      <c r="K216" s="4">
        <f>(Q216+W216)/2</f>
        <v>0</v>
      </c>
      <c r="L216" s="4">
        <f>(R216+X216)/2</f>
        <v>0</v>
      </c>
      <c r="M216" s="4">
        <f>(S216+Y216)/2</f>
        <v>0</v>
      </c>
      <c r="N216" s="4"/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4"/>
      <c r="U216" s="9">
        <v>0</v>
      </c>
      <c r="V216" s="9">
        <v>0</v>
      </c>
      <c r="W216" s="9">
        <v>0</v>
      </c>
      <c r="X216" s="9">
        <v>0</v>
      </c>
      <c r="Y216" s="9">
        <v>0</v>
      </c>
    </row>
    <row r="217" spans="1:25" ht="12.75">
      <c r="A217" s="5">
        <f t="shared" si="27"/>
        <v>203</v>
      </c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>
      <c r="A218" s="5">
        <f t="shared" si="27"/>
        <v>204</v>
      </c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3.5" thickBot="1">
      <c r="A219" s="5">
        <f t="shared" si="27"/>
        <v>205</v>
      </c>
      <c r="B219" s="7" t="s">
        <v>0</v>
      </c>
      <c r="C219" s="6">
        <f aca="true" t="shared" si="28" ref="C219:O219">SUM(C216:C218)</f>
        <v>0</v>
      </c>
      <c r="D219" s="6">
        <f t="shared" si="28"/>
        <v>0</v>
      </c>
      <c r="E219" s="6">
        <f t="shared" si="28"/>
        <v>0</v>
      </c>
      <c r="F219" s="6">
        <f t="shared" si="28"/>
        <v>0</v>
      </c>
      <c r="G219" s="6">
        <f t="shared" si="28"/>
        <v>0</v>
      </c>
      <c r="H219" s="4"/>
      <c r="I219" s="6">
        <f>SUM(I216:I218)</f>
        <v>0</v>
      </c>
      <c r="J219" s="6">
        <f>SUM(J216:J218)</f>
        <v>0</v>
      </c>
      <c r="K219" s="6">
        <f>SUM(K216:K218)</f>
        <v>0</v>
      </c>
      <c r="L219" s="6">
        <f>SUM(L216:L218)</f>
        <v>0</v>
      </c>
      <c r="M219" s="6">
        <f>SUM(M216:M218)</f>
        <v>0</v>
      </c>
      <c r="N219" s="4"/>
      <c r="O219" s="6">
        <f t="shared" si="28"/>
        <v>0</v>
      </c>
      <c r="P219" s="6">
        <f>SUM(P216:P218)</f>
        <v>0</v>
      </c>
      <c r="Q219" s="6">
        <f>SUM(Q216:Q218)</f>
        <v>0</v>
      </c>
      <c r="R219" s="6">
        <f>SUM(R216:R218)</f>
        <v>0</v>
      </c>
      <c r="S219" s="6">
        <f>SUM(S216:S218)</f>
        <v>0</v>
      </c>
      <c r="T219" s="4"/>
      <c r="U219" s="6">
        <f>SUM(U216:U218)</f>
        <v>0</v>
      </c>
      <c r="V219" s="6">
        <f>SUM(V216:V218)</f>
        <v>0</v>
      </c>
      <c r="W219" s="6">
        <f>SUM(W216:W218)</f>
        <v>0</v>
      </c>
      <c r="X219" s="6">
        <f>SUM(X216:X218)</f>
        <v>0</v>
      </c>
      <c r="Y219" s="6">
        <f>SUM(Y216:Y218)</f>
        <v>0</v>
      </c>
    </row>
    <row r="220" spans="3:25" ht="13.5" thickTop="1">
      <c r="C220" s="3"/>
      <c r="D220" s="3"/>
      <c r="E220" s="3"/>
      <c r="F220" s="3"/>
      <c r="G220" s="3"/>
      <c r="I220" s="3"/>
      <c r="J220" s="3"/>
      <c r="K220" s="3"/>
      <c r="L220" s="3"/>
      <c r="M220" s="3"/>
      <c r="O220" s="3"/>
      <c r="P220" s="3"/>
      <c r="Q220" s="3"/>
      <c r="R220" s="3"/>
      <c r="S220" s="3"/>
      <c r="U220" s="3"/>
      <c r="V220" s="3"/>
      <c r="W220" s="3"/>
      <c r="X220" s="3"/>
      <c r="Y220" s="3"/>
    </row>
  </sheetData>
  <sheetProtection/>
  <printOptions/>
  <pageMargins left="0.75" right="0.25" top="0.5" bottom="0.5" header="0.25" footer="0.25"/>
  <pageSetup horizontalDpi="600" verticalDpi="600" orientation="portrait" scale="65" r:id="rId3"/>
  <headerFooter alignWithMargins="0">
    <oddHeader>&amp;RSTATEMENT AF
Page &amp;P of &amp;N</oddHeader>
  </headerFooter>
  <rowBreaks count="1" manualBreakCount="1">
    <brk id="86" min="2" max="24" man="1"/>
  </rowBreaks>
  <colBreaks count="3" manualBreakCount="3">
    <brk id="7" min="14" max="161" man="1"/>
    <brk id="13" min="14" max="161" man="1"/>
    <brk id="19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5" sqref="B25"/>
    </sheetView>
  </sheetViews>
  <sheetFormatPr defaultColWidth="12.7109375" defaultRowHeight="12.75"/>
  <cols>
    <col min="1" max="1" width="4.7109375" style="43" customWidth="1"/>
    <col min="2" max="2" width="54.7109375" style="44" customWidth="1"/>
    <col min="3" max="7" width="15.7109375" style="44" customWidth="1"/>
    <col min="8" max="8" width="2.7109375" style="44" customWidth="1"/>
    <col min="9" max="13" width="15.7109375" style="44" customWidth="1"/>
    <col min="14" max="14" width="2.7109375" style="44" customWidth="1"/>
    <col min="15" max="19" width="15.7109375" style="44" customWidth="1"/>
    <col min="20" max="20" width="2.7109375" style="44" customWidth="1"/>
    <col min="21" max="25" width="15.7109375" style="44" customWidth="1"/>
    <col min="26" max="16384" width="12.7109375" style="44" customWidth="1"/>
  </cols>
  <sheetData>
    <row r="1" spans="2:25" ht="12.75">
      <c r="B1" s="26" t="s">
        <v>274</v>
      </c>
      <c r="G1" s="45"/>
      <c r="H1" s="15"/>
      <c r="I1" s="15"/>
      <c r="J1" s="15"/>
      <c r="K1" s="15"/>
      <c r="L1" s="15"/>
      <c r="M1" s="45"/>
      <c r="N1" s="15"/>
      <c r="S1" s="45"/>
      <c r="Y1" s="45"/>
    </row>
    <row r="2" spans="2:25" ht="12.75">
      <c r="B2" s="26" t="s">
        <v>182</v>
      </c>
      <c r="G2" s="45"/>
      <c r="H2" s="15"/>
      <c r="I2" s="15"/>
      <c r="J2" s="15"/>
      <c r="K2" s="15"/>
      <c r="L2" s="15"/>
      <c r="M2" s="45"/>
      <c r="N2" s="15"/>
      <c r="S2" s="45"/>
      <c r="Y2" s="45"/>
    </row>
    <row r="3" ht="12.75">
      <c r="B3" s="26" t="s">
        <v>179</v>
      </c>
    </row>
    <row r="4" spans="2:25" ht="12.75">
      <c r="B4" s="46"/>
      <c r="G4" s="45" t="s">
        <v>183</v>
      </c>
      <c r="M4" s="45"/>
      <c r="S4" s="45"/>
      <c r="Y4" s="45"/>
    </row>
    <row r="5" ht="12.75">
      <c r="B5" s="43"/>
    </row>
    <row r="6" spans="8:14" ht="12.75">
      <c r="H6" s="47"/>
      <c r="I6" s="47"/>
      <c r="J6" s="47"/>
      <c r="K6" s="47"/>
      <c r="L6" s="47"/>
      <c r="M6" s="47"/>
      <c r="N6" s="47"/>
    </row>
    <row r="8" spans="2:25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 t="s">
        <v>168</v>
      </c>
      <c r="M8" s="18" t="s">
        <v>167</v>
      </c>
      <c r="N8" s="18"/>
      <c r="O8" s="18" t="s">
        <v>166</v>
      </c>
      <c r="P8" s="18" t="s">
        <v>165</v>
      </c>
      <c r="Q8" s="18" t="s">
        <v>164</v>
      </c>
      <c r="R8" s="18" t="s">
        <v>163</v>
      </c>
      <c r="S8" s="18" t="s">
        <v>275</v>
      </c>
      <c r="U8" s="18" t="s">
        <v>276</v>
      </c>
      <c r="V8" s="18" t="s">
        <v>277</v>
      </c>
      <c r="W8" s="18" t="s">
        <v>278</v>
      </c>
      <c r="X8" s="18" t="s">
        <v>279</v>
      </c>
      <c r="Y8" s="18" t="s">
        <v>280</v>
      </c>
    </row>
    <row r="10" spans="3:25" ht="12.75">
      <c r="C10" s="36" t="s">
        <v>162</v>
      </c>
      <c r="D10" s="36"/>
      <c r="E10" s="23" t="s">
        <v>161</v>
      </c>
      <c r="F10" s="36"/>
      <c r="G10" s="47" t="s">
        <v>160</v>
      </c>
      <c r="H10" s="47"/>
      <c r="I10" s="36" t="s">
        <v>159</v>
      </c>
      <c r="J10" s="36"/>
      <c r="K10" s="36"/>
      <c r="L10" s="36"/>
      <c r="M10" s="36"/>
      <c r="N10" s="47"/>
      <c r="O10" s="36" t="s">
        <v>158</v>
      </c>
      <c r="P10" s="36"/>
      <c r="Q10" s="36"/>
      <c r="R10" s="36"/>
      <c r="S10" s="36"/>
      <c r="U10" s="36" t="s">
        <v>157</v>
      </c>
      <c r="V10" s="36"/>
      <c r="W10" s="36"/>
      <c r="X10" s="36"/>
      <c r="Y10" s="36"/>
    </row>
    <row r="11" spans="3:25" ht="12.75">
      <c r="C11" s="48"/>
      <c r="D11" s="48"/>
      <c r="G11" s="47" t="s">
        <v>156</v>
      </c>
      <c r="H11" s="47"/>
      <c r="I11" s="48"/>
      <c r="J11" s="48"/>
      <c r="K11" s="48"/>
      <c r="L11" s="48"/>
      <c r="M11" s="48"/>
      <c r="N11" s="47"/>
      <c r="O11" s="48"/>
      <c r="P11" s="48"/>
      <c r="Q11" s="48"/>
      <c r="R11" s="48"/>
      <c r="S11" s="48"/>
      <c r="U11" s="48"/>
      <c r="V11" s="48"/>
      <c r="W11" s="48"/>
      <c r="X11" s="48"/>
      <c r="Y11" s="48"/>
    </row>
    <row r="12" spans="3:14" ht="12.75">
      <c r="C12" s="47" t="s">
        <v>155</v>
      </c>
      <c r="D12" s="47" t="s">
        <v>155</v>
      </c>
      <c r="E12" s="47" t="s">
        <v>155</v>
      </c>
      <c r="F12" s="47" t="s">
        <v>155</v>
      </c>
      <c r="G12" s="47" t="s">
        <v>154</v>
      </c>
      <c r="H12" s="47"/>
      <c r="N12" s="47"/>
    </row>
    <row r="13" spans="2:25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D13</f>
        <v>OF 12-31-14</v>
      </c>
      <c r="G13" s="18" t="s">
        <v>150</v>
      </c>
      <c r="H13" s="18"/>
      <c r="I13" s="18" t="s">
        <v>149</v>
      </c>
      <c r="J13" s="18" t="s">
        <v>281</v>
      </c>
      <c r="K13" s="18" t="s">
        <v>148</v>
      </c>
      <c r="L13" s="18" t="s">
        <v>147</v>
      </c>
      <c r="M13" s="18" t="s">
        <v>282</v>
      </c>
      <c r="N13" s="18"/>
      <c r="O13" s="18" t="s">
        <v>149</v>
      </c>
      <c r="P13" s="18" t="s">
        <v>281</v>
      </c>
      <c r="Q13" s="18" t="s">
        <v>148</v>
      </c>
      <c r="R13" s="18" t="s">
        <v>147</v>
      </c>
      <c r="S13" s="18" t="s">
        <v>282</v>
      </c>
      <c r="U13" s="18" t="s">
        <v>149</v>
      </c>
      <c r="V13" s="18" t="s">
        <v>281</v>
      </c>
      <c r="W13" s="18" t="s">
        <v>148</v>
      </c>
      <c r="X13" s="18" t="s">
        <v>147</v>
      </c>
      <c r="Y13" s="18" t="s">
        <v>282</v>
      </c>
    </row>
    <row r="15" spans="1:26" ht="12.75">
      <c r="A15" s="49">
        <v>1</v>
      </c>
      <c r="B15" s="13" t="s">
        <v>184</v>
      </c>
      <c r="C15" s="13"/>
      <c r="D15" s="13"/>
      <c r="E15" s="13"/>
      <c r="F15" s="5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>
      <c r="A16" s="49">
        <f aca="true" t="shared" si="0" ref="A16:A79">A15+1</f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>
      <c r="A17" s="49">
        <f t="shared" si="0"/>
        <v>3</v>
      </c>
      <c r="B17" s="13" t="s">
        <v>185</v>
      </c>
      <c r="C17" s="13">
        <f>SUM(O17:S17)</f>
        <v>3154093</v>
      </c>
      <c r="D17" s="13">
        <f aca="true" t="shared" si="1" ref="D17:D99">SUM(U17:Y17)</f>
        <v>2877930</v>
      </c>
      <c r="E17" s="13"/>
      <c r="F17" s="13"/>
      <c r="G17" s="13">
        <f aca="true" t="shared" si="2" ref="G17:G63">ROUND(SUM(C17:F17)/2,0)</f>
        <v>3016012</v>
      </c>
      <c r="H17" s="13"/>
      <c r="I17" s="13">
        <f>(O17+U17)/2</f>
        <v>1444010.5</v>
      </c>
      <c r="J17" s="13">
        <f>(P17+V17)/2</f>
        <v>1162451.5</v>
      </c>
      <c r="K17" s="13">
        <f>(Q17+W17)/2</f>
        <v>5941.5</v>
      </c>
      <c r="L17" s="13">
        <f>(R17+X17)/2</f>
        <v>403608</v>
      </c>
      <c r="M17" s="13">
        <f>(S17+Y17)/2</f>
        <v>0</v>
      </c>
      <c r="N17" s="13"/>
      <c r="O17" s="14">
        <v>1875026</v>
      </c>
      <c r="P17" s="14">
        <v>876894</v>
      </c>
      <c r="Q17" s="14">
        <v>11883</v>
      </c>
      <c r="R17" s="14">
        <v>390290</v>
      </c>
      <c r="S17" s="39">
        <v>0</v>
      </c>
      <c r="T17" s="13"/>
      <c r="U17" s="39">
        <v>1012995</v>
      </c>
      <c r="V17" s="39">
        <v>1448009</v>
      </c>
      <c r="W17" s="39">
        <v>0</v>
      </c>
      <c r="X17" s="39">
        <v>416926</v>
      </c>
      <c r="Y17" s="39">
        <v>0</v>
      </c>
      <c r="Z17" s="13"/>
    </row>
    <row r="18" spans="1:26" ht="12.75">
      <c r="A18" s="49">
        <f t="shared" si="0"/>
        <v>4</v>
      </c>
      <c r="B18" s="13" t="s">
        <v>186</v>
      </c>
      <c r="C18" s="13">
        <f>SUM(O18:S18)</f>
        <v>41021678.18</v>
      </c>
      <c r="D18" s="13">
        <f>SUM(U18:Y18)</f>
        <v>36113449.55</v>
      </c>
      <c r="E18" s="13"/>
      <c r="F18" s="13"/>
      <c r="G18" s="13">
        <f>ROUND(SUM(C18:F18)/2,0)</f>
        <v>38567564</v>
      </c>
      <c r="H18" s="13"/>
      <c r="I18" s="13">
        <f aca="true" t="shared" si="3" ref="I18:M68">(O18+U18)/2</f>
        <v>8265132.7</v>
      </c>
      <c r="J18" s="13">
        <f t="shared" si="3"/>
        <v>18473541.25</v>
      </c>
      <c r="K18" s="13">
        <f t="shared" si="3"/>
        <v>5814959.005</v>
      </c>
      <c r="L18" s="13">
        <f t="shared" si="3"/>
        <v>6013930.909999999</v>
      </c>
      <c r="M18" s="13">
        <f t="shared" si="3"/>
        <v>0</v>
      </c>
      <c r="N18" s="13"/>
      <c r="O18" s="14">
        <v>8622912.55</v>
      </c>
      <c r="P18" s="14">
        <v>20432273.48</v>
      </c>
      <c r="Q18" s="14">
        <v>5950562.609999999</v>
      </c>
      <c r="R18" s="14">
        <v>6015929.539999999</v>
      </c>
      <c r="S18" s="39">
        <v>0</v>
      </c>
      <c r="T18" s="13"/>
      <c r="U18" s="39">
        <f>11516947.85-3609595</f>
        <v>7907352.85</v>
      </c>
      <c r="V18" s="39">
        <f>19432838.02-2918029</f>
        <v>16514809.02</v>
      </c>
      <c r="W18" s="39">
        <f>10342590.4-4663235</f>
        <v>5679355.4</v>
      </c>
      <c r="X18" s="39">
        <f>11128305.28-5116373</f>
        <v>6011932.279999999</v>
      </c>
      <c r="Y18" s="39">
        <v>0</v>
      </c>
      <c r="Z18" s="13"/>
    </row>
    <row r="19" spans="1:26" ht="12.75">
      <c r="A19" s="49">
        <f t="shared" si="0"/>
        <v>5</v>
      </c>
      <c r="B19" s="13" t="s">
        <v>400</v>
      </c>
      <c r="C19" s="13">
        <f aca="true" t="shared" si="4" ref="C19:C99">SUM(O19:S19)</f>
        <v>0</v>
      </c>
      <c r="D19" s="13">
        <f t="shared" si="1"/>
        <v>0</v>
      </c>
      <c r="E19" s="13"/>
      <c r="F19" s="13"/>
      <c r="G19" s="13">
        <f t="shared" si="2"/>
        <v>0</v>
      </c>
      <c r="H19" s="13"/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/>
      <c r="O19" s="14">
        <v>0</v>
      </c>
      <c r="P19" s="14">
        <v>0</v>
      </c>
      <c r="Q19" s="14">
        <v>0</v>
      </c>
      <c r="R19" s="14">
        <v>0</v>
      </c>
      <c r="S19" s="39">
        <v>0</v>
      </c>
      <c r="T19" s="13"/>
      <c r="U19" s="39">
        <v>0</v>
      </c>
      <c r="V19" s="39">
        <f>2281713-2281713</f>
        <v>0</v>
      </c>
      <c r="W19" s="39">
        <v>0</v>
      </c>
      <c r="X19" s="39">
        <v>0</v>
      </c>
      <c r="Y19" s="39">
        <v>0</v>
      </c>
      <c r="Z19" s="13"/>
    </row>
    <row r="20" spans="1:26" ht="12.75">
      <c r="A20" s="49">
        <f t="shared" si="0"/>
        <v>6</v>
      </c>
      <c r="B20" s="13" t="s">
        <v>401</v>
      </c>
      <c r="C20" s="13">
        <f t="shared" si="4"/>
        <v>3265</v>
      </c>
      <c r="D20" s="13">
        <f t="shared" si="1"/>
        <v>4571</v>
      </c>
      <c r="E20" s="13"/>
      <c r="F20" s="13"/>
      <c r="G20" s="13">
        <f t="shared" si="2"/>
        <v>3918</v>
      </c>
      <c r="H20" s="13"/>
      <c r="I20" s="13">
        <f t="shared" si="3"/>
        <v>3918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/>
      <c r="O20" s="14">
        <v>3265</v>
      </c>
      <c r="P20" s="14">
        <v>0</v>
      </c>
      <c r="Q20" s="14">
        <v>0</v>
      </c>
      <c r="R20" s="14">
        <v>0</v>
      </c>
      <c r="S20" s="39">
        <v>0</v>
      </c>
      <c r="T20" s="13"/>
      <c r="U20" s="39">
        <f>39182-34611</f>
        <v>4571</v>
      </c>
      <c r="V20" s="39">
        <v>0</v>
      </c>
      <c r="W20" s="39">
        <v>0</v>
      </c>
      <c r="X20" s="39">
        <v>0</v>
      </c>
      <c r="Y20" s="39">
        <v>0</v>
      </c>
      <c r="Z20" s="13"/>
    </row>
    <row r="21" spans="1:26" ht="12.75">
      <c r="A21" s="49">
        <f t="shared" si="0"/>
        <v>7</v>
      </c>
      <c r="B21" s="13" t="s">
        <v>402</v>
      </c>
      <c r="C21" s="13">
        <f t="shared" si="4"/>
        <v>0</v>
      </c>
      <c r="D21" s="13">
        <f t="shared" si="1"/>
        <v>3010</v>
      </c>
      <c r="E21" s="13"/>
      <c r="F21" s="13"/>
      <c r="G21" s="13">
        <f t="shared" si="2"/>
        <v>1505</v>
      </c>
      <c r="H21" s="13"/>
      <c r="I21" s="13">
        <f t="shared" si="3"/>
        <v>1505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3"/>
      <c r="O21" s="14">
        <v>0</v>
      </c>
      <c r="P21" s="14">
        <v>0</v>
      </c>
      <c r="Q21" s="14">
        <v>0</v>
      </c>
      <c r="R21" s="14">
        <v>0</v>
      </c>
      <c r="S21" s="39">
        <v>0</v>
      </c>
      <c r="T21" s="13"/>
      <c r="U21" s="39">
        <f>90297-87287</f>
        <v>3010</v>
      </c>
      <c r="V21" s="39">
        <v>0</v>
      </c>
      <c r="W21" s="39">
        <v>0</v>
      </c>
      <c r="X21" s="39">
        <v>0</v>
      </c>
      <c r="Y21" s="39">
        <v>0</v>
      </c>
      <c r="Z21" s="13"/>
    </row>
    <row r="22" spans="1:26" ht="12.75">
      <c r="A22" s="49">
        <f t="shared" si="0"/>
        <v>8</v>
      </c>
      <c r="B22" s="13" t="s">
        <v>403</v>
      </c>
      <c r="C22" s="13">
        <f t="shared" si="4"/>
        <v>5147593.58</v>
      </c>
      <c r="D22" s="13">
        <f t="shared" si="1"/>
        <v>5716811.3</v>
      </c>
      <c r="E22" s="13"/>
      <c r="F22" s="13"/>
      <c r="G22" s="13">
        <f t="shared" si="2"/>
        <v>5432202</v>
      </c>
      <c r="H22" s="13"/>
      <c r="I22" s="13">
        <f t="shared" si="3"/>
        <v>0</v>
      </c>
      <c r="J22" s="13">
        <f t="shared" si="3"/>
        <v>0</v>
      </c>
      <c r="K22" s="13">
        <f t="shared" si="3"/>
        <v>1328582.1099999999</v>
      </c>
      <c r="L22" s="13">
        <f t="shared" si="3"/>
        <v>4103620.33</v>
      </c>
      <c r="M22" s="13">
        <f t="shared" si="3"/>
        <v>0</v>
      </c>
      <c r="N22" s="13"/>
      <c r="O22" s="14">
        <v>0</v>
      </c>
      <c r="P22" s="14">
        <v>0</v>
      </c>
      <c r="Q22" s="14">
        <v>1127738.4</v>
      </c>
      <c r="R22" s="14">
        <v>4019855.18</v>
      </c>
      <c r="S22" s="39">
        <v>0</v>
      </c>
      <c r="T22" s="13"/>
      <c r="U22" s="39">
        <v>0</v>
      </c>
      <c r="V22" s="39">
        <v>0</v>
      </c>
      <c r="W22" s="39">
        <v>1529425.82</v>
      </c>
      <c r="X22" s="39">
        <v>4187385.48</v>
      </c>
      <c r="Y22" s="39">
        <v>0</v>
      </c>
      <c r="Z22" s="13"/>
    </row>
    <row r="23" spans="1:26" ht="12.75">
      <c r="A23" s="49">
        <f t="shared" si="0"/>
        <v>9</v>
      </c>
      <c r="B23" s="13" t="s">
        <v>404</v>
      </c>
      <c r="C23" s="13">
        <f t="shared" si="4"/>
        <v>-0.89</v>
      </c>
      <c r="D23" s="13">
        <f t="shared" si="1"/>
        <v>-0.89</v>
      </c>
      <c r="E23" s="13"/>
      <c r="F23" s="13"/>
      <c r="G23" s="13">
        <f t="shared" si="2"/>
        <v>-1</v>
      </c>
      <c r="H23" s="13"/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-0.89</v>
      </c>
      <c r="M23" s="13">
        <f t="shared" si="3"/>
        <v>0</v>
      </c>
      <c r="N23" s="13"/>
      <c r="O23" s="14">
        <v>0</v>
      </c>
      <c r="P23" s="14">
        <v>0</v>
      </c>
      <c r="Q23" s="14">
        <v>0</v>
      </c>
      <c r="R23" s="14">
        <v>-0.89</v>
      </c>
      <c r="S23" s="39">
        <v>0</v>
      </c>
      <c r="T23" s="13"/>
      <c r="U23" s="39">
        <v>0</v>
      </c>
      <c r="V23" s="39">
        <v>0</v>
      </c>
      <c r="W23" s="39">
        <v>0</v>
      </c>
      <c r="X23" s="39">
        <v>-0.89</v>
      </c>
      <c r="Y23" s="39">
        <v>0</v>
      </c>
      <c r="Z23" s="13"/>
    </row>
    <row r="24" spans="1:26" ht="12.75">
      <c r="A24" s="49">
        <f t="shared" si="0"/>
        <v>10</v>
      </c>
      <c r="B24" s="13" t="s">
        <v>92</v>
      </c>
      <c r="C24" s="13">
        <f t="shared" si="4"/>
        <v>-2128669.32</v>
      </c>
      <c r="D24" s="13">
        <f t="shared" si="1"/>
        <v>-2365217.94</v>
      </c>
      <c r="E24" s="13"/>
      <c r="F24" s="13"/>
      <c r="G24" s="13">
        <f t="shared" si="2"/>
        <v>-2246944</v>
      </c>
      <c r="H24" s="13"/>
      <c r="I24" s="13">
        <f t="shared" si="3"/>
        <v>678913.615</v>
      </c>
      <c r="J24" s="13">
        <f t="shared" si="3"/>
        <v>0.15</v>
      </c>
      <c r="K24" s="13">
        <f t="shared" si="3"/>
        <v>33370.36</v>
      </c>
      <c r="L24" s="13">
        <f t="shared" si="3"/>
        <v>-2959227.755</v>
      </c>
      <c r="M24" s="13">
        <f t="shared" si="3"/>
        <v>0</v>
      </c>
      <c r="N24" s="13"/>
      <c r="O24" s="14">
        <v>779427</v>
      </c>
      <c r="P24" s="14">
        <v>0.15</v>
      </c>
      <c r="Q24" s="14">
        <v>46361.31</v>
      </c>
      <c r="R24" s="14">
        <v>-2954457.78</v>
      </c>
      <c r="S24" s="39">
        <v>0</v>
      </c>
      <c r="T24" s="13"/>
      <c r="U24" s="39">
        <v>578400.23</v>
      </c>
      <c r="V24" s="39">
        <v>0.15</v>
      </c>
      <c r="W24" s="39">
        <v>20379.41</v>
      </c>
      <c r="X24" s="39">
        <v>-2963997.73</v>
      </c>
      <c r="Y24" s="39">
        <v>0</v>
      </c>
      <c r="Z24" s="13"/>
    </row>
    <row r="25" spans="1:26" ht="12.75">
      <c r="A25" s="49">
        <f t="shared" si="0"/>
        <v>11</v>
      </c>
      <c r="B25" s="13" t="s">
        <v>194</v>
      </c>
      <c r="C25" s="13">
        <f t="shared" si="4"/>
        <v>475341.0400000001</v>
      </c>
      <c r="D25" s="13">
        <f t="shared" si="1"/>
        <v>473055.5400000001</v>
      </c>
      <c r="E25" s="13"/>
      <c r="F25" s="13"/>
      <c r="G25" s="13">
        <f t="shared" si="2"/>
        <v>474198</v>
      </c>
      <c r="H25" s="13"/>
      <c r="I25" s="13">
        <f t="shared" si="3"/>
        <v>-698959.45</v>
      </c>
      <c r="J25" s="13">
        <f t="shared" si="3"/>
        <v>0</v>
      </c>
      <c r="K25" s="13">
        <f t="shared" si="3"/>
        <v>968792.05</v>
      </c>
      <c r="L25" s="13">
        <f t="shared" si="3"/>
        <v>204365.69</v>
      </c>
      <c r="M25" s="13">
        <f t="shared" si="3"/>
        <v>0</v>
      </c>
      <c r="N25" s="13"/>
      <c r="O25" s="14">
        <v>-697816.7</v>
      </c>
      <c r="P25" s="14">
        <v>0</v>
      </c>
      <c r="Q25" s="14">
        <v>968792.05</v>
      </c>
      <c r="R25" s="14">
        <v>204365.69</v>
      </c>
      <c r="S25" s="39">
        <v>0</v>
      </c>
      <c r="T25" s="13"/>
      <c r="U25" s="39">
        <v>-700102.2</v>
      </c>
      <c r="V25" s="39">
        <v>0</v>
      </c>
      <c r="W25" s="39">
        <v>968792.05</v>
      </c>
      <c r="X25" s="39">
        <v>204365.69</v>
      </c>
      <c r="Y25" s="39">
        <v>0</v>
      </c>
      <c r="Z25" s="13"/>
    </row>
    <row r="26" spans="1:26" ht="12.75">
      <c r="A26" s="49">
        <f t="shared" si="0"/>
        <v>12</v>
      </c>
      <c r="B26" s="13" t="s">
        <v>405</v>
      </c>
      <c r="C26" s="13">
        <f t="shared" si="4"/>
        <v>-650000</v>
      </c>
      <c r="D26" s="13">
        <f t="shared" si="1"/>
        <v>-650000</v>
      </c>
      <c r="E26" s="13"/>
      <c r="F26" s="13"/>
      <c r="G26" s="13">
        <f t="shared" si="2"/>
        <v>-650000</v>
      </c>
      <c r="H26" s="13"/>
      <c r="I26" s="13">
        <f t="shared" si="3"/>
        <v>0</v>
      </c>
      <c r="J26" s="13">
        <f t="shared" si="3"/>
        <v>0</v>
      </c>
      <c r="K26" s="13">
        <f t="shared" si="3"/>
        <v>-650000</v>
      </c>
      <c r="L26" s="13">
        <f t="shared" si="3"/>
        <v>0</v>
      </c>
      <c r="M26" s="13">
        <f t="shared" si="3"/>
        <v>0</v>
      </c>
      <c r="N26" s="13"/>
      <c r="O26" s="14">
        <v>0</v>
      </c>
      <c r="P26" s="14">
        <v>0</v>
      </c>
      <c r="Q26" s="14">
        <v>-650000</v>
      </c>
      <c r="R26" s="14">
        <v>0</v>
      </c>
      <c r="S26" s="39">
        <v>0</v>
      </c>
      <c r="T26" s="13"/>
      <c r="U26" s="39">
        <v>0</v>
      </c>
      <c r="V26" s="39">
        <v>0</v>
      </c>
      <c r="W26" s="39">
        <v>-650000</v>
      </c>
      <c r="X26" s="39">
        <v>0</v>
      </c>
      <c r="Y26" s="39">
        <v>0</v>
      </c>
      <c r="Z26" s="13"/>
    </row>
    <row r="27" spans="1:26" ht="12.75">
      <c r="A27" s="49">
        <f t="shared" si="0"/>
        <v>13</v>
      </c>
      <c r="B27" s="13" t="s">
        <v>406</v>
      </c>
      <c r="C27" s="13">
        <f t="shared" si="4"/>
        <v>650001</v>
      </c>
      <c r="D27" s="13">
        <f t="shared" si="1"/>
        <v>650001</v>
      </c>
      <c r="E27" s="13"/>
      <c r="F27" s="13"/>
      <c r="G27" s="13">
        <f t="shared" si="2"/>
        <v>650001</v>
      </c>
      <c r="H27" s="13"/>
      <c r="I27" s="13">
        <f t="shared" si="3"/>
        <v>0</v>
      </c>
      <c r="J27" s="13">
        <f t="shared" si="3"/>
        <v>0</v>
      </c>
      <c r="K27" s="13">
        <f t="shared" si="3"/>
        <v>650001</v>
      </c>
      <c r="L27" s="13">
        <f t="shared" si="3"/>
        <v>0</v>
      </c>
      <c r="M27" s="13">
        <f t="shared" si="3"/>
        <v>0</v>
      </c>
      <c r="N27" s="13"/>
      <c r="O27" s="14">
        <v>0</v>
      </c>
      <c r="P27" s="14">
        <v>0</v>
      </c>
      <c r="Q27" s="14">
        <v>650001</v>
      </c>
      <c r="R27" s="14">
        <v>0</v>
      </c>
      <c r="S27" s="39">
        <v>0</v>
      </c>
      <c r="T27" s="13"/>
      <c r="U27" s="39">
        <v>0</v>
      </c>
      <c r="V27" s="39">
        <v>0</v>
      </c>
      <c r="W27" s="39">
        <v>650001</v>
      </c>
      <c r="X27" s="39">
        <v>0</v>
      </c>
      <c r="Y27" s="39">
        <v>0</v>
      </c>
      <c r="Z27" s="13"/>
    </row>
    <row r="28" spans="1:26" ht="12.75">
      <c r="A28" s="49">
        <f t="shared" si="0"/>
        <v>14</v>
      </c>
      <c r="B28" s="13" t="s">
        <v>407</v>
      </c>
      <c r="C28" s="13">
        <f t="shared" si="4"/>
        <v>8737302.81</v>
      </c>
      <c r="D28" s="13">
        <f t="shared" si="1"/>
        <v>9997585.41</v>
      </c>
      <c r="E28" s="13"/>
      <c r="F28" s="13"/>
      <c r="G28" s="13">
        <f t="shared" si="2"/>
        <v>9367444</v>
      </c>
      <c r="H28" s="13"/>
      <c r="I28" s="13">
        <f t="shared" si="3"/>
        <v>9367444.11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/>
      <c r="O28" s="14">
        <v>8737302.81</v>
      </c>
      <c r="P28" s="14">
        <v>0</v>
      </c>
      <c r="Q28" s="14">
        <v>0</v>
      </c>
      <c r="R28" s="14">
        <v>0</v>
      </c>
      <c r="S28" s="39">
        <v>0</v>
      </c>
      <c r="T28" s="13"/>
      <c r="U28" s="39">
        <f>10291658.41-294073</f>
        <v>9997585.41</v>
      </c>
      <c r="V28" s="39">
        <v>0</v>
      </c>
      <c r="W28" s="39">
        <v>0</v>
      </c>
      <c r="X28" s="39">
        <v>0</v>
      </c>
      <c r="Y28" s="39">
        <v>0</v>
      </c>
      <c r="Z28" s="13"/>
    </row>
    <row r="29" spans="1:26" ht="12.75">
      <c r="A29" s="49">
        <f t="shared" si="0"/>
        <v>15</v>
      </c>
      <c r="B29" s="13" t="s">
        <v>197</v>
      </c>
      <c r="C29" s="13">
        <f t="shared" si="4"/>
        <v>-871424.75</v>
      </c>
      <c r="D29" s="13">
        <f t="shared" si="1"/>
        <v>3361675.1</v>
      </c>
      <c r="E29" s="13"/>
      <c r="F29" s="13"/>
      <c r="G29" s="13">
        <f t="shared" si="2"/>
        <v>1245125</v>
      </c>
      <c r="H29" s="13"/>
      <c r="I29" s="13">
        <f t="shared" si="3"/>
        <v>1245125.175</v>
      </c>
      <c r="J29" s="13">
        <f t="shared" si="3"/>
        <v>0</v>
      </c>
      <c r="K29" s="13">
        <f t="shared" si="3"/>
        <v>0</v>
      </c>
      <c r="L29" s="13">
        <f t="shared" si="3"/>
        <v>0</v>
      </c>
      <c r="M29" s="13">
        <f t="shared" si="3"/>
        <v>0</v>
      </c>
      <c r="N29" s="13"/>
      <c r="O29" s="14">
        <v>-871424.75</v>
      </c>
      <c r="P29" s="14">
        <v>0</v>
      </c>
      <c r="Q29" s="14">
        <v>0</v>
      </c>
      <c r="R29" s="14">
        <v>0</v>
      </c>
      <c r="S29" s="39">
        <v>0</v>
      </c>
      <c r="T29" s="13"/>
      <c r="U29" s="39">
        <v>3361675.1</v>
      </c>
      <c r="V29" s="39">
        <v>0</v>
      </c>
      <c r="W29" s="39">
        <v>0</v>
      </c>
      <c r="X29" s="39">
        <v>0</v>
      </c>
      <c r="Y29" s="39">
        <v>0</v>
      </c>
      <c r="Z29" s="13"/>
    </row>
    <row r="30" spans="1:26" ht="12.75">
      <c r="A30" s="49">
        <f t="shared" si="0"/>
        <v>16</v>
      </c>
      <c r="B30" s="13" t="s">
        <v>198</v>
      </c>
      <c r="C30" s="13">
        <f t="shared" si="4"/>
        <v>98438.76999999999</v>
      </c>
      <c r="D30" s="13">
        <f t="shared" si="1"/>
        <v>82002.32999999999</v>
      </c>
      <c r="E30" s="13"/>
      <c r="F30" s="13"/>
      <c r="G30" s="13">
        <f t="shared" si="2"/>
        <v>90221</v>
      </c>
      <c r="H30" s="13"/>
      <c r="I30" s="13">
        <f t="shared" si="3"/>
        <v>14347.789999999999</v>
      </c>
      <c r="J30" s="13">
        <f t="shared" si="3"/>
        <v>42851.899999999994</v>
      </c>
      <c r="K30" s="13">
        <f t="shared" si="3"/>
        <v>715.98</v>
      </c>
      <c r="L30" s="13">
        <f t="shared" si="3"/>
        <v>32304.879999999997</v>
      </c>
      <c r="M30" s="13">
        <f t="shared" si="3"/>
        <v>0</v>
      </c>
      <c r="N30" s="13"/>
      <c r="O30" s="14">
        <v>19894.17</v>
      </c>
      <c r="P30" s="14">
        <v>39442.7</v>
      </c>
      <c r="Q30" s="14">
        <v>548.44</v>
      </c>
      <c r="R30" s="14">
        <v>38553.46</v>
      </c>
      <c r="S30" s="39">
        <v>0</v>
      </c>
      <c r="T30" s="13"/>
      <c r="U30" s="39">
        <v>8801.41</v>
      </c>
      <c r="V30" s="39">
        <v>46261.1</v>
      </c>
      <c r="W30" s="39">
        <v>883.52</v>
      </c>
      <c r="X30" s="39">
        <v>26056.3</v>
      </c>
      <c r="Y30" s="39">
        <v>0</v>
      </c>
      <c r="Z30" s="13"/>
    </row>
    <row r="31" spans="1:26" ht="12.75">
      <c r="A31" s="49">
        <f t="shared" si="0"/>
        <v>17</v>
      </c>
      <c r="B31" s="13" t="s">
        <v>408</v>
      </c>
      <c r="C31" s="13">
        <f t="shared" si="4"/>
        <v>0</v>
      </c>
      <c r="D31" s="13">
        <f t="shared" si="1"/>
        <v>0</v>
      </c>
      <c r="E31" s="13"/>
      <c r="F31" s="13"/>
      <c r="G31" s="13">
        <f t="shared" si="2"/>
        <v>0</v>
      </c>
      <c r="H31" s="13"/>
      <c r="I31" s="13">
        <f t="shared" si="3"/>
        <v>0</v>
      </c>
      <c r="J31" s="13">
        <f t="shared" si="3"/>
        <v>0</v>
      </c>
      <c r="K31" s="13">
        <f t="shared" si="3"/>
        <v>0</v>
      </c>
      <c r="L31" s="13">
        <f t="shared" si="3"/>
        <v>0</v>
      </c>
      <c r="M31" s="13">
        <f t="shared" si="3"/>
        <v>0</v>
      </c>
      <c r="N31" s="13"/>
      <c r="O31" s="14">
        <v>0</v>
      </c>
      <c r="P31" s="14">
        <v>0</v>
      </c>
      <c r="Q31" s="14">
        <v>0</v>
      </c>
      <c r="R31" s="14">
        <v>0</v>
      </c>
      <c r="S31" s="39">
        <v>0</v>
      </c>
      <c r="T31" s="13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13"/>
    </row>
    <row r="32" spans="1:26" ht="12.75">
      <c r="A32" s="49">
        <f t="shared" si="0"/>
        <v>18</v>
      </c>
      <c r="B32" s="13" t="s">
        <v>87</v>
      </c>
      <c r="C32" s="13">
        <f t="shared" si="4"/>
        <v>-32639738.119999997</v>
      </c>
      <c r="D32" s="13">
        <f t="shared" si="1"/>
        <v>-33833600.78</v>
      </c>
      <c r="E32" s="13"/>
      <c r="F32" s="13"/>
      <c r="G32" s="13">
        <f t="shared" si="2"/>
        <v>-33236669</v>
      </c>
      <c r="H32" s="13"/>
      <c r="I32" s="13">
        <f t="shared" si="3"/>
        <v>-7038377.82</v>
      </c>
      <c r="J32" s="13">
        <f t="shared" si="3"/>
        <v>-9582310.129999999</v>
      </c>
      <c r="K32" s="13">
        <f t="shared" si="3"/>
        <v>-2040519.605</v>
      </c>
      <c r="L32" s="13">
        <f t="shared" si="3"/>
        <v>-14575461.895</v>
      </c>
      <c r="M32" s="13">
        <f t="shared" si="3"/>
        <v>0</v>
      </c>
      <c r="N32" s="13"/>
      <c r="O32" s="14">
        <v>-6924537.33</v>
      </c>
      <c r="P32" s="14">
        <v>-9421493.9</v>
      </c>
      <c r="Q32" s="14">
        <v>-1943709.95</v>
      </c>
      <c r="R32" s="14">
        <v>-14349996.94</v>
      </c>
      <c r="S32" s="39">
        <v>0</v>
      </c>
      <c r="T32" s="13"/>
      <c r="U32" s="39">
        <v>-7152218.31</v>
      </c>
      <c r="V32" s="39">
        <v>-9743126.36</v>
      </c>
      <c r="W32" s="39">
        <v>-2137329.26</v>
      </c>
      <c r="X32" s="39">
        <v>-14800926.85</v>
      </c>
      <c r="Y32" s="39">
        <v>0</v>
      </c>
      <c r="Z32" s="13"/>
    </row>
    <row r="33" spans="1:26" ht="12.75">
      <c r="A33" s="49">
        <f t="shared" si="0"/>
        <v>19</v>
      </c>
      <c r="B33" s="13" t="s">
        <v>86</v>
      </c>
      <c r="C33" s="13">
        <f>SUM(O33:S33)</f>
        <v>43522424.75</v>
      </c>
      <c r="D33" s="13">
        <f>SUM(U33:Y33)</f>
        <v>46619510.349999994</v>
      </c>
      <c r="E33" s="13"/>
      <c r="F33" s="13"/>
      <c r="G33" s="13">
        <f>ROUND(SUM(C33:F33)/2,0)</f>
        <v>45070968</v>
      </c>
      <c r="H33" s="13"/>
      <c r="I33" s="13">
        <f t="shared" si="3"/>
        <v>10269838.25</v>
      </c>
      <c r="J33" s="13">
        <f t="shared" si="3"/>
        <v>10065851.25</v>
      </c>
      <c r="K33" s="13">
        <f t="shared" si="3"/>
        <v>4416632.324999999</v>
      </c>
      <c r="L33" s="13">
        <f t="shared" si="3"/>
        <v>20318645.725</v>
      </c>
      <c r="M33" s="13">
        <f t="shared" si="3"/>
        <v>0</v>
      </c>
      <c r="N33" s="13"/>
      <c r="O33" s="14">
        <v>9805745.25</v>
      </c>
      <c r="P33" s="14">
        <v>10016423.55</v>
      </c>
      <c r="Q33" s="14">
        <v>4302533.55</v>
      </c>
      <c r="R33" s="14">
        <v>19397722.4</v>
      </c>
      <c r="S33" s="39">
        <v>0</v>
      </c>
      <c r="T33" s="13"/>
      <c r="U33" s="39">
        <v>10733931.25</v>
      </c>
      <c r="V33" s="39">
        <v>10115278.95</v>
      </c>
      <c r="W33" s="39">
        <v>4530731.1</v>
      </c>
      <c r="X33" s="39">
        <v>21239569.05</v>
      </c>
      <c r="Y33" s="39">
        <v>0</v>
      </c>
      <c r="Z33" s="13"/>
    </row>
    <row r="34" spans="1:26" ht="12.75">
      <c r="A34" s="49">
        <f t="shared" si="0"/>
        <v>20</v>
      </c>
      <c r="B34" s="13" t="s">
        <v>199</v>
      </c>
      <c r="C34" s="13">
        <f>SUM(O34:S34)</f>
        <v>-23658.39</v>
      </c>
      <c r="D34" s="13">
        <f>SUM(U34:Y34)</f>
        <v>-61240.31000000001</v>
      </c>
      <c r="E34" s="13"/>
      <c r="F34" s="13"/>
      <c r="G34" s="13">
        <f>ROUND(SUM(C34:F34)/2,0)</f>
        <v>-42449</v>
      </c>
      <c r="H34" s="13"/>
      <c r="I34" s="13">
        <f t="shared" si="3"/>
        <v>6618.895</v>
      </c>
      <c r="J34" s="13">
        <f t="shared" si="3"/>
        <v>45207.515</v>
      </c>
      <c r="K34" s="13">
        <f t="shared" si="3"/>
        <v>24049.765</v>
      </c>
      <c r="L34" s="13">
        <f t="shared" si="3"/>
        <v>-118325.525</v>
      </c>
      <c r="M34" s="13">
        <f t="shared" si="3"/>
        <v>0</v>
      </c>
      <c r="N34" s="13"/>
      <c r="O34" s="14">
        <v>6619.59</v>
      </c>
      <c r="P34" s="14">
        <v>55910.26</v>
      </c>
      <c r="Q34" s="14">
        <v>23479.68</v>
      </c>
      <c r="R34" s="14">
        <v>-109667.92</v>
      </c>
      <c r="S34" s="39">
        <v>0</v>
      </c>
      <c r="T34" s="13"/>
      <c r="U34" s="39">
        <v>6618.2</v>
      </c>
      <c r="V34" s="39">
        <v>34504.77</v>
      </c>
      <c r="W34" s="39">
        <v>24619.85</v>
      </c>
      <c r="X34" s="39">
        <v>-126983.13</v>
      </c>
      <c r="Y34" s="39">
        <v>0</v>
      </c>
      <c r="Z34" s="13"/>
    </row>
    <row r="35" spans="1:26" ht="12.75">
      <c r="A35" s="49">
        <f t="shared" si="0"/>
        <v>21</v>
      </c>
      <c r="B35" s="13" t="s">
        <v>200</v>
      </c>
      <c r="C35" s="13">
        <f>SUM(O35:S35)</f>
        <v>334158.30000000005</v>
      </c>
      <c r="D35" s="13">
        <f>SUM(U35:Y35)</f>
        <v>322931.7</v>
      </c>
      <c r="E35" s="13"/>
      <c r="F35" s="13"/>
      <c r="G35" s="13">
        <f>ROUND(SUM(C35:F35)/2,0)</f>
        <v>328545</v>
      </c>
      <c r="H35" s="13"/>
      <c r="I35" s="13">
        <f t="shared" si="3"/>
        <v>-6674.5</v>
      </c>
      <c r="J35" s="13">
        <f t="shared" si="3"/>
        <v>112711.025</v>
      </c>
      <c r="K35" s="13">
        <f t="shared" si="3"/>
        <v>28389.550000000003</v>
      </c>
      <c r="L35" s="13">
        <f t="shared" si="3"/>
        <v>194118.925</v>
      </c>
      <c r="M35" s="13">
        <f t="shared" si="3"/>
        <v>0</v>
      </c>
      <c r="N35" s="13"/>
      <c r="O35" s="14">
        <v>-6675.2</v>
      </c>
      <c r="P35" s="14">
        <v>112711.2</v>
      </c>
      <c r="Q35" s="14">
        <v>27948.2</v>
      </c>
      <c r="R35" s="14">
        <v>200174.1</v>
      </c>
      <c r="S35" s="39">
        <v>0</v>
      </c>
      <c r="T35" s="13"/>
      <c r="U35" s="39">
        <v>-6673.8</v>
      </c>
      <c r="V35" s="39">
        <v>112710.85</v>
      </c>
      <c r="W35" s="39">
        <v>28830.9</v>
      </c>
      <c r="X35" s="39">
        <v>188063.75</v>
      </c>
      <c r="Y35" s="39">
        <v>0</v>
      </c>
      <c r="Z35" s="13"/>
    </row>
    <row r="36" spans="1:26" ht="12.75">
      <c r="A36" s="49">
        <f t="shared" si="0"/>
        <v>22</v>
      </c>
      <c r="B36" s="13" t="s">
        <v>201</v>
      </c>
      <c r="C36" s="13">
        <f t="shared" si="4"/>
        <v>462664.63</v>
      </c>
      <c r="D36" s="13">
        <f t="shared" si="1"/>
        <v>494192.67000000004</v>
      </c>
      <c r="E36" s="13"/>
      <c r="F36" s="13"/>
      <c r="G36" s="13">
        <f t="shared" si="2"/>
        <v>478429</v>
      </c>
      <c r="H36" s="13"/>
      <c r="I36" s="13">
        <f t="shared" si="3"/>
        <v>2</v>
      </c>
      <c r="J36" s="13">
        <f t="shared" si="3"/>
        <v>291678.815</v>
      </c>
      <c r="K36" s="13">
        <f t="shared" si="3"/>
        <v>-0.25</v>
      </c>
      <c r="L36" s="13">
        <f t="shared" si="3"/>
        <v>186748.085</v>
      </c>
      <c r="M36" s="13">
        <f t="shared" si="3"/>
        <v>0</v>
      </c>
      <c r="N36" s="13"/>
      <c r="O36" s="14">
        <v>2</v>
      </c>
      <c r="P36" s="14">
        <v>296683.23</v>
      </c>
      <c r="Q36" s="14">
        <v>-0.25</v>
      </c>
      <c r="R36" s="14">
        <v>165979.65</v>
      </c>
      <c r="S36" s="39">
        <v>0</v>
      </c>
      <c r="T36" s="13"/>
      <c r="U36" s="39">
        <v>2</v>
      </c>
      <c r="V36" s="39">
        <v>286674.4</v>
      </c>
      <c r="W36" s="39">
        <v>-0.25</v>
      </c>
      <c r="X36" s="39">
        <v>207516.52</v>
      </c>
      <c r="Y36" s="39">
        <v>0</v>
      </c>
      <c r="Z36" s="13"/>
    </row>
    <row r="37" spans="1:26" ht="12.75">
      <c r="A37" s="49">
        <f t="shared" si="0"/>
        <v>23</v>
      </c>
      <c r="B37" s="13" t="s">
        <v>409</v>
      </c>
      <c r="C37" s="13">
        <f>SUM(O37:S37)</f>
        <v>0</v>
      </c>
      <c r="D37" s="13">
        <f>SUM(U37:Y37)</f>
        <v>0.41</v>
      </c>
      <c r="E37" s="13"/>
      <c r="F37" s="13"/>
      <c r="G37" s="13">
        <f>ROUND(SUM(C37:F37)/2,0)</f>
        <v>0</v>
      </c>
      <c r="H37" s="13"/>
      <c r="I37" s="13">
        <f t="shared" si="3"/>
        <v>0</v>
      </c>
      <c r="J37" s="13">
        <f t="shared" si="3"/>
        <v>0</v>
      </c>
      <c r="K37" s="13">
        <f t="shared" si="3"/>
        <v>0.205</v>
      </c>
      <c r="L37" s="13">
        <f t="shared" si="3"/>
        <v>0</v>
      </c>
      <c r="M37" s="13">
        <f t="shared" si="3"/>
        <v>0</v>
      </c>
      <c r="N37" s="13"/>
      <c r="O37" s="14">
        <v>0</v>
      </c>
      <c r="P37" s="14">
        <v>0</v>
      </c>
      <c r="Q37" s="14">
        <v>0</v>
      </c>
      <c r="R37" s="14">
        <v>0</v>
      </c>
      <c r="S37" s="39">
        <v>0</v>
      </c>
      <c r="T37" s="13"/>
      <c r="U37" s="39">
        <v>0</v>
      </c>
      <c r="V37" s="39">
        <v>0</v>
      </c>
      <c r="W37" s="39">
        <v>0.41</v>
      </c>
      <c r="X37" s="39">
        <v>0</v>
      </c>
      <c r="Y37" s="39">
        <v>0</v>
      </c>
      <c r="Z37" s="13"/>
    </row>
    <row r="38" spans="1:26" ht="12.75">
      <c r="A38" s="49">
        <f t="shared" si="0"/>
        <v>24</v>
      </c>
      <c r="B38" s="13" t="s">
        <v>410</v>
      </c>
      <c r="C38" s="13">
        <f t="shared" si="4"/>
        <v>0</v>
      </c>
      <c r="D38" s="13">
        <f t="shared" si="1"/>
        <v>0</v>
      </c>
      <c r="E38" s="13"/>
      <c r="F38" s="13"/>
      <c r="G38" s="13">
        <f t="shared" si="2"/>
        <v>0</v>
      </c>
      <c r="H38" s="13"/>
      <c r="I38" s="13">
        <f t="shared" si="3"/>
        <v>0</v>
      </c>
      <c r="J38" s="13">
        <f t="shared" si="3"/>
        <v>0</v>
      </c>
      <c r="K38" s="13">
        <f t="shared" si="3"/>
        <v>0</v>
      </c>
      <c r="L38" s="13">
        <f t="shared" si="3"/>
        <v>0</v>
      </c>
      <c r="M38" s="13">
        <f t="shared" si="3"/>
        <v>0</v>
      </c>
      <c r="N38" s="13"/>
      <c r="O38" s="14">
        <v>0</v>
      </c>
      <c r="P38" s="14">
        <v>0</v>
      </c>
      <c r="Q38" s="14">
        <v>0</v>
      </c>
      <c r="R38" s="14">
        <v>0</v>
      </c>
      <c r="S38" s="39">
        <v>0</v>
      </c>
      <c r="T38" s="13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13"/>
    </row>
    <row r="39" spans="1:26" ht="12.75">
      <c r="A39" s="49">
        <f t="shared" si="0"/>
        <v>25</v>
      </c>
      <c r="B39" s="13" t="s">
        <v>203</v>
      </c>
      <c r="C39" s="13">
        <f t="shared" si="4"/>
        <v>3337158.63</v>
      </c>
      <c r="D39" s="13">
        <f t="shared" si="1"/>
        <v>2887063.8600000003</v>
      </c>
      <c r="E39" s="13"/>
      <c r="F39" s="13"/>
      <c r="G39" s="13">
        <f t="shared" si="2"/>
        <v>3112111</v>
      </c>
      <c r="H39" s="13"/>
      <c r="I39" s="13">
        <f t="shared" si="3"/>
        <v>51781.65</v>
      </c>
      <c r="J39" s="13">
        <f t="shared" si="3"/>
        <v>2293487.0949999997</v>
      </c>
      <c r="K39" s="13">
        <f t="shared" si="3"/>
        <v>675.5</v>
      </c>
      <c r="L39" s="13">
        <f t="shared" si="3"/>
        <v>766167</v>
      </c>
      <c r="M39" s="13">
        <f t="shared" si="3"/>
        <v>0</v>
      </c>
      <c r="N39" s="13"/>
      <c r="O39" s="14">
        <v>53883.62</v>
      </c>
      <c r="P39" s="14">
        <v>2537733.82</v>
      </c>
      <c r="Q39" s="14">
        <v>1351</v>
      </c>
      <c r="R39" s="14">
        <v>744190.19</v>
      </c>
      <c r="S39" s="39">
        <v>0</v>
      </c>
      <c r="T39" s="13"/>
      <c r="U39" s="39">
        <v>49679.68</v>
      </c>
      <c r="V39" s="39">
        <v>2049240.37</v>
      </c>
      <c r="W39" s="39">
        <v>0</v>
      </c>
      <c r="X39" s="39">
        <v>788143.81</v>
      </c>
      <c r="Y39" s="39">
        <v>0</v>
      </c>
      <c r="Z39" s="13"/>
    </row>
    <row r="40" spans="1:26" ht="12.75">
      <c r="A40" s="49">
        <f t="shared" si="0"/>
        <v>26</v>
      </c>
      <c r="B40" s="13" t="s">
        <v>411</v>
      </c>
      <c r="C40" s="13">
        <f>SUM(O40:S40)</f>
        <v>0</v>
      </c>
      <c r="D40" s="13">
        <f>SUM(U40:Y40)</f>
        <v>0</v>
      </c>
      <c r="E40" s="13"/>
      <c r="F40" s="13"/>
      <c r="G40" s="13">
        <f>ROUND(SUM(C40:F40)/2,0)</f>
        <v>0</v>
      </c>
      <c r="H40" s="13"/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/>
      <c r="O40" s="14">
        <v>0</v>
      </c>
      <c r="P40" s="14">
        <v>0</v>
      </c>
      <c r="Q40" s="14">
        <v>0</v>
      </c>
      <c r="R40" s="14">
        <v>0</v>
      </c>
      <c r="S40" s="39">
        <v>0</v>
      </c>
      <c r="T40" s="13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13"/>
    </row>
    <row r="41" spans="1:26" ht="12.75">
      <c r="A41" s="49">
        <f t="shared" si="0"/>
        <v>27</v>
      </c>
      <c r="B41" s="13" t="s">
        <v>412</v>
      </c>
      <c r="C41" s="13">
        <f>SUM(O41:S41)</f>
        <v>381327.23</v>
      </c>
      <c r="D41" s="13">
        <f>SUM(U41:Y41)</f>
        <v>380133.55</v>
      </c>
      <c r="E41" s="13"/>
      <c r="F41" s="13"/>
      <c r="G41" s="13">
        <f>ROUND(SUM(C41:F41)/2,0)</f>
        <v>380730</v>
      </c>
      <c r="H41" s="13"/>
      <c r="I41" s="13">
        <f t="shared" si="3"/>
        <v>0</v>
      </c>
      <c r="J41" s="13">
        <f t="shared" si="3"/>
        <v>380730.39</v>
      </c>
      <c r="K41" s="13">
        <f t="shared" si="3"/>
        <v>0</v>
      </c>
      <c r="L41" s="13">
        <f t="shared" si="3"/>
        <v>0</v>
      </c>
      <c r="M41" s="13">
        <f t="shared" si="3"/>
        <v>0</v>
      </c>
      <c r="N41" s="13"/>
      <c r="O41" s="14">
        <v>0</v>
      </c>
      <c r="P41" s="14">
        <v>381327.23</v>
      </c>
      <c r="Q41" s="14">
        <v>0</v>
      </c>
      <c r="R41" s="14">
        <v>0</v>
      </c>
      <c r="S41" s="39">
        <v>0</v>
      </c>
      <c r="T41" s="13"/>
      <c r="U41" s="39">
        <v>0</v>
      </c>
      <c r="V41" s="39">
        <v>380133.55</v>
      </c>
      <c r="W41" s="39">
        <v>0</v>
      </c>
      <c r="X41" s="39">
        <v>0</v>
      </c>
      <c r="Y41" s="39">
        <v>0</v>
      </c>
      <c r="Z41" s="13"/>
    </row>
    <row r="42" spans="1:26" ht="12.75">
      <c r="A42" s="49">
        <f t="shared" si="0"/>
        <v>28</v>
      </c>
      <c r="B42" s="13" t="s">
        <v>204</v>
      </c>
      <c r="C42" s="13">
        <f t="shared" si="4"/>
        <v>16205.45</v>
      </c>
      <c r="D42" s="13">
        <f t="shared" si="1"/>
        <v>172674.44</v>
      </c>
      <c r="E42" s="13"/>
      <c r="F42" s="13"/>
      <c r="G42" s="13">
        <f t="shared" si="2"/>
        <v>94440</v>
      </c>
      <c r="H42" s="13"/>
      <c r="I42" s="13">
        <f t="shared" si="3"/>
        <v>38699.88</v>
      </c>
      <c r="J42" s="13">
        <f t="shared" si="3"/>
        <v>52056.94</v>
      </c>
      <c r="K42" s="13">
        <f t="shared" si="3"/>
        <v>0.41</v>
      </c>
      <c r="L42" s="13">
        <f t="shared" si="3"/>
        <v>3682.715</v>
      </c>
      <c r="M42" s="13">
        <f t="shared" si="3"/>
        <v>0</v>
      </c>
      <c r="N42" s="13"/>
      <c r="O42" s="14">
        <v>3537.04</v>
      </c>
      <c r="P42" s="14">
        <v>5357.61</v>
      </c>
      <c r="Q42" s="14">
        <v>0.41</v>
      </c>
      <c r="R42" s="14">
        <v>7310.39</v>
      </c>
      <c r="S42" s="39">
        <v>0</v>
      </c>
      <c r="T42" s="13"/>
      <c r="U42" s="39">
        <v>73862.72</v>
      </c>
      <c r="V42" s="39">
        <v>98756.27</v>
      </c>
      <c r="W42" s="39">
        <v>0.41</v>
      </c>
      <c r="X42" s="39">
        <v>55.04</v>
      </c>
      <c r="Y42" s="39">
        <v>0</v>
      </c>
      <c r="Z42" s="13"/>
    </row>
    <row r="43" spans="1:26" ht="12.75">
      <c r="A43" s="49">
        <f t="shared" si="0"/>
        <v>29</v>
      </c>
      <c r="B43" s="13" t="s">
        <v>413</v>
      </c>
      <c r="C43" s="13">
        <f>SUM(O43:S43)</f>
        <v>0</v>
      </c>
      <c r="D43" s="13">
        <f>SUM(U43:Y43)</f>
        <v>0</v>
      </c>
      <c r="E43" s="13"/>
      <c r="F43" s="13"/>
      <c r="G43" s="13">
        <f>ROUND(SUM(C43:F43)/2,0)</f>
        <v>0</v>
      </c>
      <c r="H43" s="13"/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/>
      <c r="O43" s="14">
        <v>0</v>
      </c>
      <c r="P43" s="14">
        <v>0</v>
      </c>
      <c r="Q43" s="14">
        <v>0</v>
      </c>
      <c r="R43" s="14">
        <v>0</v>
      </c>
      <c r="S43" s="39">
        <v>0</v>
      </c>
      <c r="T43" s="13"/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13"/>
    </row>
    <row r="44" spans="1:26" ht="12.75">
      <c r="A44" s="49">
        <f t="shared" si="0"/>
        <v>30</v>
      </c>
      <c r="B44" s="13" t="s">
        <v>205</v>
      </c>
      <c r="C44" s="13">
        <f t="shared" si="4"/>
        <v>33581.8</v>
      </c>
      <c r="D44" s="13">
        <f t="shared" si="1"/>
        <v>60742.85</v>
      </c>
      <c r="E44" s="13"/>
      <c r="F44" s="13"/>
      <c r="G44" s="13">
        <f t="shared" si="2"/>
        <v>47162</v>
      </c>
      <c r="H44" s="13"/>
      <c r="I44" s="13">
        <f t="shared" si="3"/>
        <v>47162.325</v>
      </c>
      <c r="J44" s="13">
        <f t="shared" si="3"/>
        <v>0</v>
      </c>
      <c r="K44" s="13">
        <f t="shared" si="3"/>
        <v>0</v>
      </c>
      <c r="L44" s="13">
        <f t="shared" si="3"/>
        <v>0</v>
      </c>
      <c r="M44" s="13">
        <f t="shared" si="3"/>
        <v>0</v>
      </c>
      <c r="N44" s="13"/>
      <c r="O44" s="14">
        <v>33581.8</v>
      </c>
      <c r="P44" s="14">
        <v>0</v>
      </c>
      <c r="Q44" s="14">
        <v>0</v>
      </c>
      <c r="R44" s="14">
        <v>0</v>
      </c>
      <c r="S44" s="39">
        <v>0</v>
      </c>
      <c r="T44" s="13"/>
      <c r="U44" s="39">
        <v>60742.85</v>
      </c>
      <c r="V44" s="39">
        <v>0</v>
      </c>
      <c r="W44" s="39">
        <v>0</v>
      </c>
      <c r="X44" s="39">
        <v>0</v>
      </c>
      <c r="Y44" s="39">
        <v>0</v>
      </c>
      <c r="Z44" s="13"/>
    </row>
    <row r="45" spans="1:26" ht="12.75">
      <c r="A45" s="49">
        <f t="shared" si="0"/>
        <v>31</v>
      </c>
      <c r="B45" s="13" t="s">
        <v>206</v>
      </c>
      <c r="C45" s="13">
        <f>SUM(O45:S45)</f>
        <v>-1783.95</v>
      </c>
      <c r="D45" s="13">
        <f>SUM(U45:Y45)</f>
        <v>-4961.6</v>
      </c>
      <c r="E45" s="13"/>
      <c r="F45" s="13"/>
      <c r="G45" s="13">
        <f>ROUND(SUM(C45:F45)/2,0)</f>
        <v>-3373</v>
      </c>
      <c r="H45" s="13"/>
      <c r="I45" s="13">
        <f t="shared" si="3"/>
        <v>-3372.775</v>
      </c>
      <c r="J45" s="13">
        <f t="shared" si="3"/>
        <v>0</v>
      </c>
      <c r="K45" s="13">
        <f t="shared" si="3"/>
        <v>0</v>
      </c>
      <c r="L45" s="13">
        <f t="shared" si="3"/>
        <v>0</v>
      </c>
      <c r="M45" s="13">
        <f t="shared" si="3"/>
        <v>0</v>
      </c>
      <c r="N45" s="13"/>
      <c r="O45" s="14">
        <v>-1783.95</v>
      </c>
      <c r="P45" s="14">
        <v>0</v>
      </c>
      <c r="Q45" s="14">
        <v>0</v>
      </c>
      <c r="R45" s="14">
        <v>0</v>
      </c>
      <c r="S45" s="39">
        <v>0</v>
      </c>
      <c r="T45" s="13"/>
      <c r="U45" s="39">
        <v>-4961.6</v>
      </c>
      <c r="V45" s="39">
        <v>0</v>
      </c>
      <c r="W45" s="39">
        <v>0</v>
      </c>
      <c r="X45" s="39">
        <v>0</v>
      </c>
      <c r="Y45" s="39">
        <v>0</v>
      </c>
      <c r="Z45" s="13"/>
    </row>
    <row r="46" spans="1:26" ht="12.75">
      <c r="A46" s="49">
        <f t="shared" si="0"/>
        <v>32</v>
      </c>
      <c r="B46" s="13" t="s">
        <v>414</v>
      </c>
      <c r="C46" s="13">
        <f>SUM(O46:S46)</f>
        <v>0</v>
      </c>
      <c r="D46" s="13">
        <f>SUM(U46:Y46)</f>
        <v>0</v>
      </c>
      <c r="E46" s="13"/>
      <c r="F46" s="13"/>
      <c r="G46" s="13">
        <f>ROUND(SUM(C46:F46)/2,0)</f>
        <v>0</v>
      </c>
      <c r="H46" s="13"/>
      <c r="I46" s="13">
        <f t="shared" si="3"/>
        <v>0</v>
      </c>
      <c r="J46" s="13">
        <f t="shared" si="3"/>
        <v>0</v>
      </c>
      <c r="K46" s="13">
        <f t="shared" si="3"/>
        <v>0</v>
      </c>
      <c r="L46" s="13">
        <f t="shared" si="3"/>
        <v>0</v>
      </c>
      <c r="M46" s="13">
        <f t="shared" si="3"/>
        <v>0</v>
      </c>
      <c r="N46" s="13"/>
      <c r="O46" s="14">
        <v>0</v>
      </c>
      <c r="P46" s="14">
        <v>0</v>
      </c>
      <c r="Q46" s="14">
        <v>0</v>
      </c>
      <c r="R46" s="14">
        <v>0</v>
      </c>
      <c r="S46" s="39">
        <v>0</v>
      </c>
      <c r="T46" s="13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13"/>
    </row>
    <row r="47" spans="1:26" ht="12.75">
      <c r="A47" s="49">
        <f t="shared" si="0"/>
        <v>33</v>
      </c>
      <c r="B47" s="13" t="s">
        <v>207</v>
      </c>
      <c r="C47" s="13">
        <f>SUM(O47:S47)</f>
        <v>0</v>
      </c>
      <c r="D47" s="13">
        <f>SUM(U47:Y47)</f>
        <v>0</v>
      </c>
      <c r="E47" s="13"/>
      <c r="F47" s="13"/>
      <c r="G47" s="13">
        <f>ROUND(SUM(C47:F47)/2,0)</f>
        <v>0</v>
      </c>
      <c r="H47" s="13"/>
      <c r="I47" s="13">
        <f t="shared" si="3"/>
        <v>0</v>
      </c>
      <c r="J47" s="13">
        <f t="shared" si="3"/>
        <v>0</v>
      </c>
      <c r="K47" s="13">
        <f t="shared" si="3"/>
        <v>0</v>
      </c>
      <c r="L47" s="13">
        <f t="shared" si="3"/>
        <v>0</v>
      </c>
      <c r="M47" s="13">
        <f t="shared" si="3"/>
        <v>0</v>
      </c>
      <c r="N47" s="13"/>
      <c r="O47" s="14">
        <v>0</v>
      </c>
      <c r="P47" s="14">
        <v>0</v>
      </c>
      <c r="Q47" s="14">
        <v>0</v>
      </c>
      <c r="R47" s="14">
        <v>0</v>
      </c>
      <c r="S47" s="39">
        <v>0</v>
      </c>
      <c r="T47" s="13"/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13"/>
    </row>
    <row r="48" spans="1:26" ht="12.75">
      <c r="A48" s="49">
        <f t="shared" si="0"/>
        <v>34</v>
      </c>
      <c r="B48" s="13" t="s">
        <v>208</v>
      </c>
      <c r="C48" s="13">
        <f t="shared" si="4"/>
        <v>14285452.329999998</v>
      </c>
      <c r="D48" s="13">
        <f t="shared" si="1"/>
        <v>13783224.389999999</v>
      </c>
      <c r="E48" s="13"/>
      <c r="F48" s="13"/>
      <c r="G48" s="13">
        <f t="shared" si="2"/>
        <v>14034338</v>
      </c>
      <c r="H48" s="13"/>
      <c r="I48" s="13">
        <f t="shared" si="3"/>
        <v>1512030.26</v>
      </c>
      <c r="J48" s="13">
        <f t="shared" si="3"/>
        <v>9578101.735</v>
      </c>
      <c r="K48" s="13">
        <f t="shared" si="3"/>
        <v>541219.23</v>
      </c>
      <c r="L48" s="13">
        <f t="shared" si="3"/>
        <v>2402987.135</v>
      </c>
      <c r="M48" s="13">
        <f t="shared" si="3"/>
        <v>0</v>
      </c>
      <c r="N48" s="13"/>
      <c r="O48" s="14">
        <v>1460120.17</v>
      </c>
      <c r="P48" s="14">
        <v>9622700.61</v>
      </c>
      <c r="Q48" s="14">
        <v>587551.03</v>
      </c>
      <c r="R48" s="14">
        <v>2615080.52</v>
      </c>
      <c r="S48" s="39">
        <v>0</v>
      </c>
      <c r="T48" s="13"/>
      <c r="U48" s="39">
        <v>1563940.35</v>
      </c>
      <c r="V48" s="39">
        <v>9533502.86</v>
      </c>
      <c r="W48" s="39">
        <v>494887.43</v>
      </c>
      <c r="X48" s="39">
        <v>2190893.75</v>
      </c>
      <c r="Y48" s="39">
        <v>0</v>
      </c>
      <c r="Z48" s="13"/>
    </row>
    <row r="49" spans="1:26" ht="12.75">
      <c r="A49" s="49">
        <f t="shared" si="0"/>
        <v>35</v>
      </c>
      <c r="B49" s="13" t="s">
        <v>209</v>
      </c>
      <c r="C49" s="13">
        <f t="shared" si="4"/>
        <v>78400.04</v>
      </c>
      <c r="D49" s="13">
        <f t="shared" si="1"/>
        <v>154000.04</v>
      </c>
      <c r="E49" s="13"/>
      <c r="F49" s="13"/>
      <c r="G49" s="13">
        <f t="shared" si="2"/>
        <v>116200</v>
      </c>
      <c r="H49" s="13"/>
      <c r="I49" s="13">
        <f t="shared" si="3"/>
        <v>116200.04000000001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/>
      <c r="O49" s="14">
        <v>78400.04</v>
      </c>
      <c r="P49" s="14">
        <v>0</v>
      </c>
      <c r="Q49" s="14">
        <v>0</v>
      </c>
      <c r="R49" s="14">
        <v>0</v>
      </c>
      <c r="S49" s="39">
        <v>0</v>
      </c>
      <c r="T49" s="13"/>
      <c r="U49" s="39">
        <v>154000.04</v>
      </c>
      <c r="V49" s="39">
        <v>0</v>
      </c>
      <c r="W49" s="39">
        <v>0</v>
      </c>
      <c r="X49" s="39">
        <v>0</v>
      </c>
      <c r="Y49" s="39">
        <v>0</v>
      </c>
      <c r="Z49" s="13"/>
    </row>
    <row r="50" spans="1:26" ht="12.75">
      <c r="A50" s="49">
        <f t="shared" si="0"/>
        <v>36</v>
      </c>
      <c r="B50" s="13" t="s">
        <v>210</v>
      </c>
      <c r="C50" s="13">
        <f t="shared" si="4"/>
        <v>4917531.4399999995</v>
      </c>
      <c r="D50" s="13">
        <f t="shared" si="1"/>
        <v>4894649.71</v>
      </c>
      <c r="E50" s="13"/>
      <c r="F50" s="13"/>
      <c r="G50" s="13">
        <f t="shared" si="2"/>
        <v>4906091</v>
      </c>
      <c r="H50" s="13"/>
      <c r="I50" s="13">
        <f t="shared" si="3"/>
        <v>810790.855</v>
      </c>
      <c r="J50" s="13">
        <f t="shared" si="3"/>
        <v>2704244.335</v>
      </c>
      <c r="K50" s="13">
        <f t="shared" si="3"/>
        <v>265288.45999999996</v>
      </c>
      <c r="L50" s="13">
        <f t="shared" si="3"/>
        <v>1125766.925</v>
      </c>
      <c r="M50" s="13">
        <f t="shared" si="3"/>
        <v>0</v>
      </c>
      <c r="N50" s="13"/>
      <c r="O50" s="14">
        <v>741936.74</v>
      </c>
      <c r="P50" s="14">
        <v>2751541.81</v>
      </c>
      <c r="Q50" s="14">
        <v>261518.82</v>
      </c>
      <c r="R50" s="14">
        <v>1162534.07</v>
      </c>
      <c r="S50" s="39">
        <v>0</v>
      </c>
      <c r="T50" s="13"/>
      <c r="U50" s="39">
        <v>879644.97</v>
      </c>
      <c r="V50" s="39">
        <v>2656946.86</v>
      </c>
      <c r="W50" s="39">
        <v>269058.1</v>
      </c>
      <c r="X50" s="39">
        <v>1088999.78</v>
      </c>
      <c r="Y50" s="39">
        <v>0</v>
      </c>
      <c r="Z50" s="13"/>
    </row>
    <row r="51" spans="1:26" ht="12.75">
      <c r="A51" s="49">
        <f t="shared" si="0"/>
        <v>37</v>
      </c>
      <c r="B51" s="13" t="s">
        <v>415</v>
      </c>
      <c r="C51" s="13">
        <f>SUM(O51:S51)</f>
        <v>2378877.03</v>
      </c>
      <c r="D51" s="13">
        <f>SUM(U51:Y51)</f>
        <v>4616477.21</v>
      </c>
      <c r="E51" s="13"/>
      <c r="F51" s="13"/>
      <c r="G51" s="13">
        <f>ROUND(SUM(C51:F51)/2,0)</f>
        <v>3497677</v>
      </c>
      <c r="H51" s="13"/>
      <c r="I51" s="13">
        <f t="shared" si="3"/>
        <v>3497677.12</v>
      </c>
      <c r="J51" s="13">
        <f t="shared" si="3"/>
        <v>0</v>
      </c>
      <c r="K51" s="13">
        <f t="shared" si="3"/>
        <v>0</v>
      </c>
      <c r="L51" s="13">
        <f t="shared" si="3"/>
        <v>0</v>
      </c>
      <c r="M51" s="13">
        <f t="shared" si="3"/>
        <v>0</v>
      </c>
      <c r="N51" s="13"/>
      <c r="O51" s="14">
        <v>2378877.03</v>
      </c>
      <c r="P51" s="14">
        <v>0</v>
      </c>
      <c r="Q51" s="14">
        <v>0</v>
      </c>
      <c r="R51" s="14">
        <v>0</v>
      </c>
      <c r="S51" s="39">
        <v>0</v>
      </c>
      <c r="T51" s="13"/>
      <c r="U51" s="39">
        <v>4616477.21</v>
      </c>
      <c r="V51" s="39">
        <v>0</v>
      </c>
      <c r="W51" s="39">
        <v>0</v>
      </c>
      <c r="X51" s="39">
        <v>0</v>
      </c>
      <c r="Y51" s="39">
        <v>0</v>
      </c>
      <c r="Z51" s="13"/>
    </row>
    <row r="52" spans="1:26" ht="12.75">
      <c r="A52" s="49">
        <f t="shared" si="0"/>
        <v>38</v>
      </c>
      <c r="B52" s="13" t="s">
        <v>416</v>
      </c>
      <c r="C52" s="13">
        <f>SUM(O52:S52)</f>
        <v>0</v>
      </c>
      <c r="D52" s="13">
        <f>SUM(U52:Y52)</f>
        <v>0</v>
      </c>
      <c r="E52" s="13"/>
      <c r="F52" s="13"/>
      <c r="G52" s="13">
        <f>ROUND(SUM(C52:F52)/2,0)</f>
        <v>0</v>
      </c>
      <c r="H52" s="13"/>
      <c r="I52" s="13">
        <f t="shared" si="3"/>
        <v>0</v>
      </c>
      <c r="J52" s="13">
        <f t="shared" si="3"/>
        <v>0</v>
      </c>
      <c r="K52" s="13">
        <f t="shared" si="3"/>
        <v>0</v>
      </c>
      <c r="L52" s="13">
        <f t="shared" si="3"/>
        <v>0</v>
      </c>
      <c r="M52" s="13">
        <f t="shared" si="3"/>
        <v>0</v>
      </c>
      <c r="N52" s="13"/>
      <c r="O52" s="14">
        <v>0</v>
      </c>
      <c r="P52" s="14">
        <v>0</v>
      </c>
      <c r="Q52" s="14">
        <v>0</v>
      </c>
      <c r="R52" s="14">
        <v>0</v>
      </c>
      <c r="S52" s="39">
        <v>0</v>
      </c>
      <c r="T52" s="13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13"/>
    </row>
    <row r="53" spans="1:26" ht="12.75">
      <c r="A53" s="49">
        <f t="shared" si="0"/>
        <v>39</v>
      </c>
      <c r="B53" s="13" t="s">
        <v>211</v>
      </c>
      <c r="C53" s="13">
        <f>SUM(O53:S53)</f>
        <v>-9020.73</v>
      </c>
      <c r="D53" s="13">
        <f>SUM(U53:Y53)</f>
        <v>-226.38999999999942</v>
      </c>
      <c r="E53" s="13"/>
      <c r="F53" s="13"/>
      <c r="G53" s="13">
        <f>ROUND(SUM(C53:F53)/2,0)</f>
        <v>-4624</v>
      </c>
      <c r="H53" s="13"/>
      <c r="I53" s="13">
        <f t="shared" si="3"/>
        <v>0</v>
      </c>
      <c r="J53" s="13">
        <f t="shared" si="3"/>
        <v>-25629.625</v>
      </c>
      <c r="K53" s="13">
        <f t="shared" si="3"/>
        <v>0</v>
      </c>
      <c r="L53" s="13">
        <f t="shared" si="3"/>
        <v>21006.065000000002</v>
      </c>
      <c r="M53" s="13">
        <f t="shared" si="3"/>
        <v>0</v>
      </c>
      <c r="N53" s="13"/>
      <c r="O53" s="14">
        <v>0</v>
      </c>
      <c r="P53" s="14">
        <v>-29823.95</v>
      </c>
      <c r="Q53" s="14">
        <v>0</v>
      </c>
      <c r="R53" s="14">
        <v>20803.22</v>
      </c>
      <c r="S53" s="39">
        <v>0</v>
      </c>
      <c r="T53" s="13"/>
      <c r="U53" s="39">
        <v>0</v>
      </c>
      <c r="V53" s="39">
        <v>-21435.3</v>
      </c>
      <c r="W53" s="39">
        <v>0</v>
      </c>
      <c r="X53" s="39">
        <v>21208.91</v>
      </c>
      <c r="Y53" s="39">
        <v>0</v>
      </c>
      <c r="Z53" s="13"/>
    </row>
    <row r="54" spans="1:26" ht="12.75">
      <c r="A54" s="49">
        <f t="shared" si="0"/>
        <v>40</v>
      </c>
      <c r="B54" s="13" t="s">
        <v>417</v>
      </c>
      <c r="C54" s="13">
        <f>SUM(O54:S54)</f>
        <v>278977.38</v>
      </c>
      <c r="D54" s="13">
        <f>SUM(U54:Y54)</f>
        <v>423499.99</v>
      </c>
      <c r="E54" s="13"/>
      <c r="F54" s="13"/>
      <c r="G54" s="13">
        <f>ROUND(SUM(C54:F54)/2,0)</f>
        <v>351239</v>
      </c>
      <c r="H54" s="13"/>
      <c r="I54" s="13">
        <f t="shared" si="3"/>
        <v>351238.685</v>
      </c>
      <c r="J54" s="13">
        <f t="shared" si="3"/>
        <v>0</v>
      </c>
      <c r="K54" s="13">
        <f t="shared" si="3"/>
        <v>0</v>
      </c>
      <c r="L54" s="13">
        <f t="shared" si="3"/>
        <v>0</v>
      </c>
      <c r="M54" s="13">
        <f t="shared" si="3"/>
        <v>0</v>
      </c>
      <c r="N54" s="13"/>
      <c r="O54" s="14">
        <v>278977.38</v>
      </c>
      <c r="P54" s="14">
        <v>0</v>
      </c>
      <c r="Q54" s="14">
        <v>0</v>
      </c>
      <c r="R54" s="14">
        <v>0</v>
      </c>
      <c r="S54" s="39">
        <v>0</v>
      </c>
      <c r="T54" s="13"/>
      <c r="U54" s="39">
        <v>423499.99</v>
      </c>
      <c r="V54" s="39">
        <v>0</v>
      </c>
      <c r="W54" s="39">
        <v>0</v>
      </c>
      <c r="X54" s="39">
        <v>0</v>
      </c>
      <c r="Y54" s="39">
        <v>0</v>
      </c>
      <c r="Z54" s="13"/>
    </row>
    <row r="55" spans="1:26" ht="12.75">
      <c r="A55" s="49">
        <f t="shared" si="0"/>
        <v>41</v>
      </c>
      <c r="B55" s="13" t="s">
        <v>418</v>
      </c>
      <c r="C55" s="13">
        <f t="shared" si="4"/>
        <v>-1.2999999999999998</v>
      </c>
      <c r="D55" s="13">
        <f t="shared" si="1"/>
        <v>-1.2999999999999998</v>
      </c>
      <c r="E55" s="13"/>
      <c r="F55" s="13"/>
      <c r="G55" s="13">
        <f t="shared" si="2"/>
        <v>-1</v>
      </c>
      <c r="H55" s="13"/>
      <c r="I55" s="13">
        <f t="shared" si="3"/>
        <v>0</v>
      </c>
      <c r="J55" s="13">
        <f t="shared" si="3"/>
        <v>-1</v>
      </c>
      <c r="K55" s="13">
        <f t="shared" si="3"/>
        <v>-0.65</v>
      </c>
      <c r="L55" s="13">
        <f t="shared" si="3"/>
        <v>0.35</v>
      </c>
      <c r="M55" s="13">
        <f t="shared" si="3"/>
        <v>0</v>
      </c>
      <c r="N55" s="13"/>
      <c r="O55" s="14">
        <v>0</v>
      </c>
      <c r="P55" s="14">
        <v>-1</v>
      </c>
      <c r="Q55" s="14">
        <v>-0.65</v>
      </c>
      <c r="R55" s="14">
        <v>0.35</v>
      </c>
      <c r="S55" s="39">
        <v>0</v>
      </c>
      <c r="T55" s="13"/>
      <c r="U55" s="39">
        <v>0</v>
      </c>
      <c r="V55" s="39">
        <v>-1</v>
      </c>
      <c r="W55" s="39">
        <v>-0.65</v>
      </c>
      <c r="X55" s="39">
        <v>0.35</v>
      </c>
      <c r="Y55" s="39">
        <v>0</v>
      </c>
      <c r="Z55" s="13"/>
    </row>
    <row r="56" spans="1:26" ht="12.75">
      <c r="A56" s="49">
        <f t="shared" si="0"/>
        <v>42</v>
      </c>
      <c r="B56" s="13" t="s">
        <v>212</v>
      </c>
      <c r="C56" s="13">
        <f t="shared" si="4"/>
        <v>1029657.99</v>
      </c>
      <c r="D56" s="13">
        <f t="shared" si="1"/>
        <v>2807936.8899999997</v>
      </c>
      <c r="E56" s="13"/>
      <c r="F56" s="13"/>
      <c r="G56" s="13">
        <f t="shared" si="2"/>
        <v>1918797</v>
      </c>
      <c r="H56" s="13"/>
      <c r="I56" s="13">
        <f t="shared" si="3"/>
        <v>1918798.03</v>
      </c>
      <c r="J56" s="13">
        <f t="shared" si="3"/>
        <v>0</v>
      </c>
      <c r="K56" s="13">
        <f t="shared" si="3"/>
        <v>-0.1</v>
      </c>
      <c r="L56" s="13">
        <f t="shared" si="3"/>
        <v>-0.49</v>
      </c>
      <c r="M56" s="13">
        <f t="shared" si="3"/>
        <v>0</v>
      </c>
      <c r="N56" s="13"/>
      <c r="O56" s="14">
        <v>1029658.58</v>
      </c>
      <c r="P56" s="14">
        <v>0</v>
      </c>
      <c r="Q56" s="14">
        <v>-0.1</v>
      </c>
      <c r="R56" s="14">
        <v>-0.49</v>
      </c>
      <c r="S56" s="39">
        <v>0</v>
      </c>
      <c r="T56" s="13"/>
      <c r="U56" s="39">
        <v>2807937.48</v>
      </c>
      <c r="V56" s="39">
        <v>0</v>
      </c>
      <c r="W56" s="39">
        <v>-0.1</v>
      </c>
      <c r="X56" s="39">
        <v>-0.49</v>
      </c>
      <c r="Y56" s="39">
        <v>0</v>
      </c>
      <c r="Z56" s="13"/>
    </row>
    <row r="57" spans="1:26" ht="12.75">
      <c r="A57" s="49">
        <f t="shared" si="0"/>
        <v>43</v>
      </c>
      <c r="B57" s="13" t="s">
        <v>419</v>
      </c>
      <c r="C57" s="13">
        <f>SUM(O57:S57)</f>
        <v>1158807.47</v>
      </c>
      <c r="D57" s="13">
        <f>SUM(U57:Y57)</f>
        <v>1245994.56</v>
      </c>
      <c r="E57" s="13"/>
      <c r="F57" s="13"/>
      <c r="G57" s="13">
        <f>ROUND(SUM(C57:F57)/2,0)</f>
        <v>1202401</v>
      </c>
      <c r="H57" s="13"/>
      <c r="I57" s="13">
        <f t="shared" si="3"/>
        <v>0</v>
      </c>
      <c r="J57" s="13">
        <f t="shared" si="3"/>
        <v>0</v>
      </c>
      <c r="K57" s="13">
        <f t="shared" si="3"/>
        <v>0</v>
      </c>
      <c r="L57" s="13">
        <f t="shared" si="3"/>
        <v>1202401.0150000001</v>
      </c>
      <c r="M57" s="13">
        <f t="shared" si="3"/>
        <v>0</v>
      </c>
      <c r="N57" s="13"/>
      <c r="O57" s="14">
        <v>0</v>
      </c>
      <c r="P57" s="14">
        <v>0</v>
      </c>
      <c r="Q57" s="14">
        <v>0</v>
      </c>
      <c r="R57" s="14">
        <v>1158807.47</v>
      </c>
      <c r="S57" s="39">
        <v>0</v>
      </c>
      <c r="T57" s="13"/>
      <c r="U57" s="39">
        <v>0</v>
      </c>
      <c r="V57" s="39">
        <v>0</v>
      </c>
      <c r="W57" s="39">
        <v>0</v>
      </c>
      <c r="X57" s="39">
        <v>1245994.56</v>
      </c>
      <c r="Y57" s="39">
        <v>0</v>
      </c>
      <c r="Z57" s="13"/>
    </row>
    <row r="58" spans="1:26" ht="12.75">
      <c r="A58" s="49">
        <f t="shared" si="0"/>
        <v>44</v>
      </c>
      <c r="B58" s="13" t="s">
        <v>420</v>
      </c>
      <c r="C58" s="13">
        <f t="shared" si="4"/>
        <v>1.8800000000010186</v>
      </c>
      <c r="D58" s="13">
        <f t="shared" si="1"/>
        <v>1.8800000000010186</v>
      </c>
      <c r="E58" s="13"/>
      <c r="F58" s="13"/>
      <c r="G58" s="13">
        <f t="shared" si="2"/>
        <v>2</v>
      </c>
      <c r="H58" s="13"/>
      <c r="I58" s="13">
        <f t="shared" si="3"/>
        <v>0.8999999999996362</v>
      </c>
      <c r="J58" s="13">
        <f t="shared" si="3"/>
        <v>1.2400000000016007</v>
      </c>
      <c r="K58" s="13">
        <f t="shared" si="3"/>
        <v>0.9899999999997817</v>
      </c>
      <c r="L58" s="13">
        <f t="shared" si="3"/>
        <v>-1.25</v>
      </c>
      <c r="M58" s="13">
        <f t="shared" si="3"/>
        <v>0</v>
      </c>
      <c r="N58" s="13"/>
      <c r="O58" s="14">
        <v>0.8999999999996362</v>
      </c>
      <c r="P58" s="14">
        <v>1.2400000000016007</v>
      </c>
      <c r="Q58" s="14">
        <v>0.9899999999997817</v>
      </c>
      <c r="R58" s="14">
        <v>-1.25</v>
      </c>
      <c r="S58" s="39">
        <v>0</v>
      </c>
      <c r="T58" s="13"/>
      <c r="U58" s="39">
        <f>-8941.1+8942</f>
        <v>0.8999999999996362</v>
      </c>
      <c r="V58" s="39">
        <f>-17881.76+17883</f>
        <v>1.2400000000016007</v>
      </c>
      <c r="W58" s="39">
        <f>-8941.01+8942</f>
        <v>0.9899999999997817</v>
      </c>
      <c r="X58" s="39">
        <f>-8943.25+8942</f>
        <v>-1.25</v>
      </c>
      <c r="Y58" s="39">
        <v>0</v>
      </c>
      <c r="Z58" s="13"/>
    </row>
    <row r="59" spans="1:26" ht="12.75">
      <c r="A59" s="49">
        <f t="shared" si="0"/>
        <v>45</v>
      </c>
      <c r="B59" s="13" t="s">
        <v>214</v>
      </c>
      <c r="C59" s="13">
        <f>SUM(O59:S59)</f>
        <v>158480.95</v>
      </c>
      <c r="D59" s="13">
        <f>SUM(U59:Y59)</f>
        <v>119769.9</v>
      </c>
      <c r="E59" s="13"/>
      <c r="F59" s="13"/>
      <c r="G59" s="13">
        <f>ROUND(SUM(C59:F59)/2,0)</f>
        <v>139125</v>
      </c>
      <c r="H59" s="13"/>
      <c r="I59" s="13">
        <f t="shared" si="3"/>
        <v>-19403.1</v>
      </c>
      <c r="J59" s="13">
        <f t="shared" si="3"/>
        <v>58224.075</v>
      </c>
      <c r="K59" s="13">
        <f t="shared" si="3"/>
        <v>1740.800000000003</v>
      </c>
      <c r="L59" s="13">
        <f t="shared" si="3"/>
        <v>98563.65</v>
      </c>
      <c r="M59" s="13">
        <f t="shared" si="3"/>
        <v>0</v>
      </c>
      <c r="N59" s="13"/>
      <c r="O59" s="14">
        <v>-19403.1</v>
      </c>
      <c r="P59" s="14">
        <v>64732.85</v>
      </c>
      <c r="Q59" s="14">
        <v>1740.800000000003</v>
      </c>
      <c r="R59" s="14">
        <v>111410.4</v>
      </c>
      <c r="S59" s="39">
        <v>0</v>
      </c>
      <c r="T59" s="13"/>
      <c r="U59" s="39">
        <f>-61350.1+41947</f>
        <v>-19403.1</v>
      </c>
      <c r="V59" s="39">
        <f>-32179.7+83895</f>
        <v>51715.3</v>
      </c>
      <c r="W59" s="39">
        <f>-40345.2+42086</f>
        <v>1740.800000000003</v>
      </c>
      <c r="X59" s="39">
        <f>39799.9+45917</f>
        <v>85716.9</v>
      </c>
      <c r="Y59" s="39">
        <v>0</v>
      </c>
      <c r="Z59" s="13"/>
    </row>
    <row r="60" spans="1:26" ht="12.75">
      <c r="A60" s="49">
        <f t="shared" si="0"/>
        <v>46</v>
      </c>
      <c r="B60" s="13" t="s">
        <v>215</v>
      </c>
      <c r="C60" s="13">
        <f>SUM(O60:S60)</f>
        <v>25907.349999999977</v>
      </c>
      <c r="D60" s="13">
        <f>SUM(U60:Y60)</f>
        <v>23184.70000000001</v>
      </c>
      <c r="E60" s="13"/>
      <c r="F60" s="13"/>
      <c r="G60" s="13">
        <f>ROUND(SUM(C60:F60)/2,0)</f>
        <v>24546</v>
      </c>
      <c r="H60" s="13"/>
      <c r="I60" s="13">
        <f t="shared" si="3"/>
        <v>0</v>
      </c>
      <c r="J60" s="13">
        <f t="shared" si="3"/>
        <v>24546.024999999994</v>
      </c>
      <c r="K60" s="13">
        <f t="shared" si="3"/>
        <v>0</v>
      </c>
      <c r="L60" s="13">
        <f t="shared" si="3"/>
        <v>0</v>
      </c>
      <c r="M60" s="13">
        <f t="shared" si="3"/>
        <v>0</v>
      </c>
      <c r="N60" s="13"/>
      <c r="O60" s="14">
        <v>0</v>
      </c>
      <c r="P60" s="14">
        <v>25907.349999999977</v>
      </c>
      <c r="Q60" s="14">
        <v>0</v>
      </c>
      <c r="R60" s="14">
        <v>0</v>
      </c>
      <c r="S60" s="39">
        <v>0</v>
      </c>
      <c r="T60" s="13"/>
      <c r="U60" s="39">
        <f>-242011+242011</f>
        <v>0</v>
      </c>
      <c r="V60" s="39">
        <f>-460837.3+484022</f>
        <v>23184.70000000001</v>
      </c>
      <c r="W60" s="39">
        <f>-242011+242011</f>
        <v>0</v>
      </c>
      <c r="X60" s="39">
        <f>-242011+242011</f>
        <v>0</v>
      </c>
      <c r="Y60" s="39">
        <v>0</v>
      </c>
      <c r="Z60" s="13"/>
    </row>
    <row r="61" spans="1:26" ht="12.75">
      <c r="A61" s="49">
        <f t="shared" si="0"/>
        <v>47</v>
      </c>
      <c r="B61" s="13" t="s">
        <v>216</v>
      </c>
      <c r="C61" s="13">
        <f t="shared" si="4"/>
        <v>-27278.85</v>
      </c>
      <c r="D61" s="13">
        <f t="shared" si="1"/>
        <v>-27278.85</v>
      </c>
      <c r="E61" s="13"/>
      <c r="F61" s="13"/>
      <c r="G61" s="13">
        <f t="shared" si="2"/>
        <v>-27279</v>
      </c>
      <c r="H61" s="13"/>
      <c r="I61" s="13">
        <f t="shared" si="3"/>
        <v>-27278.85</v>
      </c>
      <c r="J61" s="13">
        <f t="shared" si="3"/>
        <v>0</v>
      </c>
      <c r="K61" s="13">
        <f t="shared" si="3"/>
        <v>0</v>
      </c>
      <c r="L61" s="13">
        <f t="shared" si="3"/>
        <v>0</v>
      </c>
      <c r="M61" s="13">
        <f t="shared" si="3"/>
        <v>0</v>
      </c>
      <c r="N61" s="13"/>
      <c r="O61" s="14">
        <v>-27278.85</v>
      </c>
      <c r="P61" s="14">
        <v>0</v>
      </c>
      <c r="Q61" s="14">
        <v>0</v>
      </c>
      <c r="R61" s="14">
        <v>0</v>
      </c>
      <c r="S61" s="39">
        <v>0</v>
      </c>
      <c r="T61" s="13"/>
      <c r="U61" s="39">
        <v>-27278.85</v>
      </c>
      <c r="V61" s="39">
        <v>0</v>
      </c>
      <c r="W61" s="39">
        <v>0</v>
      </c>
      <c r="X61" s="39">
        <v>0</v>
      </c>
      <c r="Y61" s="39">
        <v>0</v>
      </c>
      <c r="Z61" s="13"/>
    </row>
    <row r="62" spans="1:26" ht="12.75">
      <c r="A62" s="49">
        <f t="shared" si="0"/>
        <v>48</v>
      </c>
      <c r="B62" s="13" t="s">
        <v>218</v>
      </c>
      <c r="C62" s="13">
        <f>SUM(O62:S62)</f>
        <v>0.5</v>
      </c>
      <c r="D62" s="13">
        <f>SUM(U62:Y62)</f>
        <v>0.5</v>
      </c>
      <c r="E62" s="13"/>
      <c r="F62" s="13"/>
      <c r="G62" s="13">
        <f>ROUND(SUM(C62:F62)/2,0)</f>
        <v>1</v>
      </c>
      <c r="H62" s="13"/>
      <c r="I62" s="13">
        <f t="shared" si="3"/>
        <v>0</v>
      </c>
      <c r="J62" s="13">
        <f t="shared" si="3"/>
        <v>0</v>
      </c>
      <c r="K62" s="13">
        <f t="shared" si="3"/>
        <v>0.5</v>
      </c>
      <c r="L62" s="13">
        <f t="shared" si="3"/>
        <v>0</v>
      </c>
      <c r="M62" s="13">
        <f t="shared" si="3"/>
        <v>0</v>
      </c>
      <c r="N62" s="13"/>
      <c r="O62" s="14">
        <v>0</v>
      </c>
      <c r="P62" s="14">
        <v>0</v>
      </c>
      <c r="Q62" s="14">
        <v>0.5</v>
      </c>
      <c r="R62" s="14">
        <v>0</v>
      </c>
      <c r="S62" s="39">
        <v>0</v>
      </c>
      <c r="T62" s="13"/>
      <c r="U62" s="39">
        <v>0</v>
      </c>
      <c r="V62" s="39">
        <v>0</v>
      </c>
      <c r="W62" s="39">
        <v>0.5</v>
      </c>
      <c r="X62" s="39">
        <v>0</v>
      </c>
      <c r="Y62" s="39">
        <v>0</v>
      </c>
      <c r="Z62" s="13"/>
    </row>
    <row r="63" spans="1:26" ht="12.75">
      <c r="A63" s="49">
        <f t="shared" si="0"/>
        <v>49</v>
      </c>
      <c r="B63" s="13" t="s">
        <v>217</v>
      </c>
      <c r="C63" s="13">
        <f t="shared" si="4"/>
        <v>-0.04</v>
      </c>
      <c r="D63" s="13">
        <f t="shared" si="1"/>
        <v>-0.04</v>
      </c>
      <c r="E63" s="13"/>
      <c r="F63" s="13"/>
      <c r="G63" s="13">
        <f t="shared" si="2"/>
        <v>0</v>
      </c>
      <c r="H63" s="13"/>
      <c r="I63" s="13">
        <f t="shared" si="3"/>
        <v>-0.04</v>
      </c>
      <c r="J63" s="13">
        <f t="shared" si="3"/>
        <v>0</v>
      </c>
      <c r="K63" s="13">
        <f t="shared" si="3"/>
        <v>0</v>
      </c>
      <c r="L63" s="13">
        <f t="shared" si="3"/>
        <v>0</v>
      </c>
      <c r="M63" s="13">
        <f t="shared" si="3"/>
        <v>0</v>
      </c>
      <c r="N63" s="13"/>
      <c r="O63" s="14">
        <v>-0.04</v>
      </c>
      <c r="P63" s="14">
        <v>0</v>
      </c>
      <c r="Q63" s="14">
        <v>0</v>
      </c>
      <c r="R63" s="14">
        <v>0</v>
      </c>
      <c r="S63" s="39">
        <v>0</v>
      </c>
      <c r="T63" s="13"/>
      <c r="U63" s="39">
        <v>-0.04</v>
      </c>
      <c r="V63" s="39">
        <v>0</v>
      </c>
      <c r="W63" s="39">
        <v>0</v>
      </c>
      <c r="X63" s="39">
        <v>0</v>
      </c>
      <c r="Y63" s="39">
        <v>0</v>
      </c>
      <c r="Z63" s="13"/>
    </row>
    <row r="64" spans="1:26" ht="12.75">
      <c r="A64" s="49">
        <f t="shared" si="0"/>
        <v>50</v>
      </c>
      <c r="B64" s="13" t="s">
        <v>221</v>
      </c>
      <c r="C64" s="13">
        <f>SUM(O64:S64)</f>
        <v>1070282.36</v>
      </c>
      <c r="D64" s="13">
        <f>SUM(U64:Y64)</f>
        <v>1052782.36</v>
      </c>
      <c r="E64" s="13"/>
      <c r="F64" s="13"/>
      <c r="G64" s="13">
        <f>ROUND(SUM(C64:F64)/2,0)</f>
        <v>1061532</v>
      </c>
      <c r="H64" s="13"/>
      <c r="I64" s="13">
        <f t="shared" si="3"/>
        <v>1061532.36</v>
      </c>
      <c r="J64" s="13">
        <f t="shared" si="3"/>
        <v>0</v>
      </c>
      <c r="K64" s="13">
        <f t="shared" si="3"/>
        <v>0</v>
      </c>
      <c r="L64" s="13">
        <f t="shared" si="3"/>
        <v>0</v>
      </c>
      <c r="M64" s="13">
        <f t="shared" si="3"/>
        <v>0</v>
      </c>
      <c r="N64" s="13"/>
      <c r="O64" s="14">
        <v>1070282.36</v>
      </c>
      <c r="P64" s="14">
        <v>0</v>
      </c>
      <c r="Q64" s="14">
        <v>0</v>
      </c>
      <c r="R64" s="14">
        <v>0</v>
      </c>
      <c r="S64" s="39">
        <v>0</v>
      </c>
      <c r="T64" s="13"/>
      <c r="U64" s="39">
        <v>1052782.36</v>
      </c>
      <c r="V64" s="39">
        <v>0</v>
      </c>
      <c r="W64" s="39">
        <v>0</v>
      </c>
      <c r="X64" s="39">
        <v>0</v>
      </c>
      <c r="Y64" s="39">
        <v>0</v>
      </c>
      <c r="Z64" s="13"/>
    </row>
    <row r="65" spans="1:26" ht="12.75">
      <c r="A65" s="49">
        <f t="shared" si="0"/>
        <v>51</v>
      </c>
      <c r="B65" s="13" t="s">
        <v>222</v>
      </c>
      <c r="C65" s="13">
        <f>SUM(O65:S65)</f>
        <v>261389.96</v>
      </c>
      <c r="D65" s="13">
        <f>SUM(U65:Y65)</f>
        <v>776082.94</v>
      </c>
      <c r="E65" s="13"/>
      <c r="F65" s="13"/>
      <c r="G65" s="13">
        <f>ROUND(SUM(C65:F65)/2,0)</f>
        <v>518736</v>
      </c>
      <c r="H65" s="13"/>
      <c r="I65" s="13">
        <f t="shared" si="3"/>
        <v>518736.44999999995</v>
      </c>
      <c r="J65" s="13">
        <f t="shared" si="3"/>
        <v>0</v>
      </c>
      <c r="K65" s="13">
        <f t="shared" si="3"/>
        <v>0</v>
      </c>
      <c r="L65" s="13">
        <f t="shared" si="3"/>
        <v>0</v>
      </c>
      <c r="M65" s="13">
        <f t="shared" si="3"/>
        <v>0</v>
      </c>
      <c r="N65" s="13"/>
      <c r="O65" s="14">
        <v>261389.96</v>
      </c>
      <c r="P65" s="14">
        <v>0</v>
      </c>
      <c r="Q65" s="14">
        <v>0</v>
      </c>
      <c r="R65" s="14">
        <v>0</v>
      </c>
      <c r="S65" s="39">
        <v>0</v>
      </c>
      <c r="T65" s="13"/>
      <c r="U65" s="39">
        <v>776082.94</v>
      </c>
      <c r="V65" s="39">
        <v>0</v>
      </c>
      <c r="W65" s="39">
        <v>0</v>
      </c>
      <c r="X65" s="39">
        <v>0</v>
      </c>
      <c r="Y65" s="39">
        <v>0</v>
      </c>
      <c r="Z65" s="13"/>
    </row>
    <row r="66" spans="1:26" ht="12.75">
      <c r="A66" s="49">
        <f t="shared" si="0"/>
        <v>52</v>
      </c>
      <c r="B66" s="13" t="s">
        <v>325</v>
      </c>
      <c r="C66" s="13">
        <f t="shared" si="4"/>
        <v>0</v>
      </c>
      <c r="D66" s="13">
        <f t="shared" si="1"/>
        <v>0</v>
      </c>
      <c r="E66" s="13"/>
      <c r="F66" s="13"/>
      <c r="G66" s="13">
        <f aca="true" t="shared" si="5" ref="G66:G127">ROUND(SUM(C66:F66)/2,0)</f>
        <v>0</v>
      </c>
      <c r="H66" s="13"/>
      <c r="I66" s="13">
        <f t="shared" si="3"/>
        <v>0</v>
      </c>
      <c r="J66" s="13">
        <f t="shared" si="3"/>
        <v>0</v>
      </c>
      <c r="K66" s="13">
        <f t="shared" si="3"/>
        <v>0</v>
      </c>
      <c r="L66" s="13">
        <f t="shared" si="3"/>
        <v>0</v>
      </c>
      <c r="M66" s="13">
        <f t="shared" si="3"/>
        <v>0</v>
      </c>
      <c r="N66" s="13"/>
      <c r="O66" s="14">
        <v>0</v>
      </c>
      <c r="P66" s="14">
        <v>0</v>
      </c>
      <c r="Q66" s="14">
        <v>0</v>
      </c>
      <c r="R66" s="14">
        <v>0</v>
      </c>
      <c r="S66" s="39">
        <v>0</v>
      </c>
      <c r="T66" s="13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13"/>
    </row>
    <row r="67" spans="1:26" ht="12.75">
      <c r="A67" s="49">
        <f t="shared" si="0"/>
        <v>53</v>
      </c>
      <c r="B67" s="13" t="s">
        <v>225</v>
      </c>
      <c r="C67" s="13">
        <f>SUM(O67:S67)</f>
        <v>141714.93</v>
      </c>
      <c r="D67" s="13">
        <f>SUM(U67:Y67)</f>
        <v>161590.26</v>
      </c>
      <c r="E67" s="13"/>
      <c r="F67" s="13"/>
      <c r="G67" s="13">
        <f>ROUND(SUM(C67:F67)/2,0)</f>
        <v>151653</v>
      </c>
      <c r="H67" s="13"/>
      <c r="I67" s="13">
        <f t="shared" si="3"/>
        <v>0</v>
      </c>
      <c r="J67" s="13">
        <f t="shared" si="3"/>
        <v>0</v>
      </c>
      <c r="K67" s="13">
        <f t="shared" si="3"/>
        <v>151652.595</v>
      </c>
      <c r="L67" s="13">
        <f t="shared" si="3"/>
        <v>0</v>
      </c>
      <c r="M67" s="13">
        <f t="shared" si="3"/>
        <v>0</v>
      </c>
      <c r="N67" s="13"/>
      <c r="O67" s="14">
        <v>0</v>
      </c>
      <c r="P67" s="14">
        <v>0</v>
      </c>
      <c r="Q67" s="14">
        <v>141714.93</v>
      </c>
      <c r="R67" s="14">
        <v>0</v>
      </c>
      <c r="S67" s="39">
        <v>0</v>
      </c>
      <c r="T67" s="13"/>
      <c r="U67" s="39">
        <v>0</v>
      </c>
      <c r="V67" s="39">
        <v>0</v>
      </c>
      <c r="W67" s="39">
        <v>161590.26</v>
      </c>
      <c r="X67" s="39">
        <v>0</v>
      </c>
      <c r="Y67" s="39">
        <v>0</v>
      </c>
      <c r="Z67" s="13"/>
    </row>
    <row r="68" spans="1:26" ht="12.75">
      <c r="A68" s="49">
        <f t="shared" si="0"/>
        <v>54</v>
      </c>
      <c r="B68" s="13" t="s">
        <v>421</v>
      </c>
      <c r="C68" s="13">
        <f>SUM(O68:S68)</f>
        <v>0</v>
      </c>
      <c r="D68" s="13">
        <f>SUM(U68:Y68)</f>
        <v>-0.05</v>
      </c>
      <c r="E68" s="13"/>
      <c r="F68" s="13"/>
      <c r="G68" s="13">
        <f>ROUND(SUM(C68:F68)/2,0)</f>
        <v>0</v>
      </c>
      <c r="H68" s="13"/>
      <c r="I68" s="13">
        <f t="shared" si="3"/>
        <v>-0.025</v>
      </c>
      <c r="J68" s="13">
        <f t="shared" si="3"/>
        <v>0</v>
      </c>
      <c r="K68" s="13">
        <f t="shared" si="3"/>
        <v>0</v>
      </c>
      <c r="L68" s="13">
        <f t="shared" si="3"/>
        <v>0</v>
      </c>
      <c r="M68" s="13">
        <f t="shared" si="3"/>
        <v>0</v>
      </c>
      <c r="N68" s="13"/>
      <c r="O68" s="14">
        <v>0</v>
      </c>
      <c r="P68" s="14">
        <v>0</v>
      </c>
      <c r="Q68" s="14">
        <v>0</v>
      </c>
      <c r="R68" s="14">
        <v>0</v>
      </c>
      <c r="S68" s="39">
        <v>0</v>
      </c>
      <c r="T68" s="13"/>
      <c r="U68" s="39">
        <v>-0.05</v>
      </c>
      <c r="V68" s="39">
        <v>0</v>
      </c>
      <c r="W68" s="39">
        <v>0</v>
      </c>
      <c r="X68" s="39">
        <v>0</v>
      </c>
      <c r="Y68" s="39">
        <v>0</v>
      </c>
      <c r="Z68" s="13"/>
    </row>
    <row r="69" spans="1:26" ht="12.75">
      <c r="A69" s="49">
        <f t="shared" si="0"/>
        <v>55</v>
      </c>
      <c r="B69" s="13" t="s">
        <v>422</v>
      </c>
      <c r="C69" s="13">
        <f>SUM(O69:S69)</f>
        <v>0</v>
      </c>
      <c r="D69" s="13">
        <f>SUM(U69:Y69)</f>
        <v>0</v>
      </c>
      <c r="E69" s="13"/>
      <c r="F69" s="13"/>
      <c r="G69" s="13">
        <f>ROUND(SUM(C69:F69)/2,0)</f>
        <v>0</v>
      </c>
      <c r="H69" s="13"/>
      <c r="I69" s="13">
        <f aca="true" t="shared" si="6" ref="I69:M118">(O69+U69)/2</f>
        <v>0</v>
      </c>
      <c r="J69" s="13">
        <f t="shared" si="6"/>
        <v>0</v>
      </c>
      <c r="K69" s="13">
        <f t="shared" si="6"/>
        <v>0</v>
      </c>
      <c r="L69" s="13">
        <f t="shared" si="6"/>
        <v>0</v>
      </c>
      <c r="M69" s="13">
        <f t="shared" si="6"/>
        <v>0</v>
      </c>
      <c r="N69" s="13"/>
      <c r="O69" s="14">
        <v>0</v>
      </c>
      <c r="P69" s="14">
        <v>0</v>
      </c>
      <c r="Q69" s="14">
        <v>0</v>
      </c>
      <c r="R69" s="14">
        <v>0</v>
      </c>
      <c r="S69" s="39">
        <v>0</v>
      </c>
      <c r="T69" s="13"/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13"/>
    </row>
    <row r="70" spans="1:26" ht="12.75">
      <c r="A70" s="49">
        <f t="shared" si="0"/>
        <v>56</v>
      </c>
      <c r="B70" s="13" t="s">
        <v>423</v>
      </c>
      <c r="C70" s="13">
        <f>SUM(O70:S70)</f>
        <v>12967.15</v>
      </c>
      <c r="D70" s="13">
        <f>SUM(U70:Y70)</f>
        <v>12967.15</v>
      </c>
      <c r="E70" s="13"/>
      <c r="F70" s="13"/>
      <c r="G70" s="13">
        <f>ROUND(SUM(C70:F70)/2,0)</f>
        <v>12967</v>
      </c>
      <c r="H70" s="13"/>
      <c r="I70" s="13">
        <f t="shared" si="6"/>
        <v>12967.15</v>
      </c>
      <c r="J70" s="13">
        <f t="shared" si="6"/>
        <v>0</v>
      </c>
      <c r="K70" s="13">
        <f t="shared" si="6"/>
        <v>0</v>
      </c>
      <c r="L70" s="13">
        <f t="shared" si="6"/>
        <v>0</v>
      </c>
      <c r="M70" s="13">
        <f t="shared" si="6"/>
        <v>0</v>
      </c>
      <c r="N70" s="13"/>
      <c r="O70" s="14">
        <v>12967.15</v>
      </c>
      <c r="P70" s="14">
        <v>0</v>
      </c>
      <c r="Q70" s="14">
        <v>0</v>
      </c>
      <c r="R70" s="14">
        <v>0</v>
      </c>
      <c r="S70" s="39">
        <v>0</v>
      </c>
      <c r="T70" s="13"/>
      <c r="U70" s="39">
        <v>12967.15</v>
      </c>
      <c r="V70" s="39">
        <v>0</v>
      </c>
      <c r="W70" s="39">
        <v>0</v>
      </c>
      <c r="X70" s="39">
        <v>0</v>
      </c>
      <c r="Y70" s="39">
        <v>0</v>
      </c>
      <c r="Z70" s="13"/>
    </row>
    <row r="71" spans="1:26" ht="12.75">
      <c r="A71" s="49">
        <f t="shared" si="0"/>
        <v>57</v>
      </c>
      <c r="B71" s="13" t="s">
        <v>232</v>
      </c>
      <c r="C71" s="13">
        <f t="shared" si="4"/>
        <v>4583.2</v>
      </c>
      <c r="D71" s="13">
        <f t="shared" si="1"/>
        <v>4583.2</v>
      </c>
      <c r="E71" s="13"/>
      <c r="F71" s="13"/>
      <c r="G71" s="13">
        <f t="shared" si="5"/>
        <v>4583</v>
      </c>
      <c r="H71" s="13"/>
      <c r="I71" s="13">
        <f t="shared" si="6"/>
        <v>4583.2</v>
      </c>
      <c r="J71" s="13">
        <f t="shared" si="6"/>
        <v>0</v>
      </c>
      <c r="K71" s="13">
        <f t="shared" si="6"/>
        <v>0</v>
      </c>
      <c r="L71" s="13">
        <f t="shared" si="6"/>
        <v>0</v>
      </c>
      <c r="M71" s="13">
        <f t="shared" si="6"/>
        <v>0</v>
      </c>
      <c r="N71" s="13"/>
      <c r="O71" s="14">
        <v>4583.2</v>
      </c>
      <c r="P71" s="14">
        <v>0</v>
      </c>
      <c r="Q71" s="14">
        <v>0</v>
      </c>
      <c r="R71" s="14">
        <v>0</v>
      </c>
      <c r="S71" s="39">
        <v>0</v>
      </c>
      <c r="T71" s="13"/>
      <c r="U71" s="39">
        <v>4583.2</v>
      </c>
      <c r="V71" s="39">
        <v>0</v>
      </c>
      <c r="W71" s="39">
        <v>0</v>
      </c>
      <c r="X71" s="39">
        <v>0</v>
      </c>
      <c r="Y71" s="39">
        <v>0</v>
      </c>
      <c r="Z71" s="13"/>
    </row>
    <row r="72" spans="1:26" ht="12.75">
      <c r="A72" s="49">
        <f t="shared" si="0"/>
        <v>58</v>
      </c>
      <c r="B72" s="13" t="s">
        <v>234</v>
      </c>
      <c r="C72" s="13">
        <f t="shared" si="4"/>
        <v>208203.11</v>
      </c>
      <c r="D72" s="13">
        <f t="shared" si="1"/>
        <v>195356.82</v>
      </c>
      <c r="E72" s="13"/>
      <c r="F72" s="13"/>
      <c r="G72" s="13">
        <f t="shared" si="5"/>
        <v>201780</v>
      </c>
      <c r="H72" s="13"/>
      <c r="I72" s="13">
        <f t="shared" si="6"/>
        <v>0</v>
      </c>
      <c r="J72" s="13">
        <f t="shared" si="6"/>
        <v>0</v>
      </c>
      <c r="K72" s="13">
        <f t="shared" si="6"/>
        <v>0</v>
      </c>
      <c r="L72" s="13">
        <f t="shared" si="6"/>
        <v>201779.965</v>
      </c>
      <c r="M72" s="13">
        <f t="shared" si="6"/>
        <v>0</v>
      </c>
      <c r="N72" s="13"/>
      <c r="O72" s="14">
        <v>0</v>
      </c>
      <c r="P72" s="14">
        <v>0</v>
      </c>
      <c r="Q72" s="14">
        <v>0</v>
      </c>
      <c r="R72" s="14">
        <v>208203.11</v>
      </c>
      <c r="S72" s="39">
        <v>0</v>
      </c>
      <c r="T72" s="13"/>
      <c r="U72" s="39">
        <v>0</v>
      </c>
      <c r="V72" s="39">
        <v>0</v>
      </c>
      <c r="W72" s="39">
        <v>0</v>
      </c>
      <c r="X72" s="39">
        <v>195356.82</v>
      </c>
      <c r="Y72" s="39">
        <v>0</v>
      </c>
      <c r="Z72" s="13"/>
    </row>
    <row r="73" spans="1:26" ht="12.75">
      <c r="A73" s="49">
        <f t="shared" si="0"/>
        <v>59</v>
      </c>
      <c r="B73" s="13" t="s">
        <v>236</v>
      </c>
      <c r="C73" s="13">
        <f t="shared" si="4"/>
        <v>1439876.08</v>
      </c>
      <c r="D73" s="13">
        <f t="shared" si="1"/>
        <v>6875969.95</v>
      </c>
      <c r="E73" s="13"/>
      <c r="F73" s="13"/>
      <c r="G73" s="13">
        <f t="shared" si="5"/>
        <v>4157923</v>
      </c>
      <c r="H73" s="13"/>
      <c r="I73" s="13">
        <f t="shared" si="6"/>
        <v>4157923.015</v>
      </c>
      <c r="J73" s="13">
        <f t="shared" si="6"/>
        <v>0</v>
      </c>
      <c r="K73" s="13">
        <f t="shared" si="6"/>
        <v>0</v>
      </c>
      <c r="L73" s="13">
        <f t="shared" si="6"/>
        <v>0</v>
      </c>
      <c r="M73" s="13">
        <f t="shared" si="6"/>
        <v>0</v>
      </c>
      <c r="N73" s="13"/>
      <c r="O73" s="14">
        <v>1439876.08</v>
      </c>
      <c r="P73" s="14">
        <v>0</v>
      </c>
      <c r="Q73" s="14">
        <v>0</v>
      </c>
      <c r="R73" s="14">
        <v>0</v>
      </c>
      <c r="S73" s="39">
        <v>0</v>
      </c>
      <c r="T73" s="13"/>
      <c r="U73" s="39">
        <v>6875969.95</v>
      </c>
      <c r="V73" s="39">
        <v>0</v>
      </c>
      <c r="W73" s="39">
        <v>0</v>
      </c>
      <c r="X73" s="39">
        <v>0</v>
      </c>
      <c r="Y73" s="39">
        <v>0</v>
      </c>
      <c r="Z73" s="13"/>
    </row>
    <row r="74" spans="1:26" ht="12.75">
      <c r="A74" s="49">
        <f t="shared" si="0"/>
        <v>60</v>
      </c>
      <c r="B74" s="13" t="s">
        <v>424</v>
      </c>
      <c r="C74" s="13">
        <f>SUM(O74:S74)</f>
        <v>-1820000</v>
      </c>
      <c r="D74" s="13">
        <f t="shared" si="1"/>
        <v>0</v>
      </c>
      <c r="E74" s="13"/>
      <c r="F74" s="13"/>
      <c r="G74" s="13">
        <f t="shared" si="5"/>
        <v>-910000</v>
      </c>
      <c r="H74" s="13"/>
      <c r="I74" s="13">
        <f t="shared" si="6"/>
        <v>0</v>
      </c>
      <c r="J74" s="13">
        <f t="shared" si="6"/>
        <v>-910000</v>
      </c>
      <c r="K74" s="13">
        <f t="shared" si="6"/>
        <v>0</v>
      </c>
      <c r="L74" s="13">
        <f t="shared" si="6"/>
        <v>0</v>
      </c>
      <c r="M74" s="13">
        <f t="shared" si="6"/>
        <v>0</v>
      </c>
      <c r="N74" s="13"/>
      <c r="O74" s="14">
        <v>0</v>
      </c>
      <c r="P74" s="14">
        <v>-1820000</v>
      </c>
      <c r="Q74" s="14">
        <v>0</v>
      </c>
      <c r="R74" s="14">
        <v>0</v>
      </c>
      <c r="S74" s="39">
        <v>0</v>
      </c>
      <c r="T74" s="13"/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13"/>
    </row>
    <row r="75" spans="1:26" ht="12.75">
      <c r="A75" s="49">
        <f t="shared" si="0"/>
        <v>61</v>
      </c>
      <c r="B75" s="13" t="s">
        <v>425</v>
      </c>
      <c r="C75" s="13">
        <f t="shared" si="4"/>
        <v>222761727.05</v>
      </c>
      <c r="D75" s="13">
        <f t="shared" si="1"/>
        <v>243199776.51</v>
      </c>
      <c r="E75" s="13"/>
      <c r="F75" s="13"/>
      <c r="G75" s="13">
        <f t="shared" si="5"/>
        <v>232980752</v>
      </c>
      <c r="H75" s="13"/>
      <c r="I75" s="13">
        <f t="shared" si="6"/>
        <v>0</v>
      </c>
      <c r="J75" s="13">
        <f t="shared" si="6"/>
        <v>232980751.78</v>
      </c>
      <c r="K75" s="13">
        <f t="shared" si="6"/>
        <v>0</v>
      </c>
      <c r="L75" s="13">
        <f t="shared" si="6"/>
        <v>0</v>
      </c>
      <c r="M75" s="13">
        <f t="shared" si="6"/>
        <v>0</v>
      </c>
      <c r="N75" s="13"/>
      <c r="O75" s="14">
        <v>0</v>
      </c>
      <c r="P75" s="14">
        <v>222761727.05</v>
      </c>
      <c r="Q75" s="14">
        <v>0</v>
      </c>
      <c r="R75" s="14">
        <v>0</v>
      </c>
      <c r="S75" s="39">
        <v>0</v>
      </c>
      <c r="T75" s="13"/>
      <c r="U75" s="39">
        <v>0</v>
      </c>
      <c r="V75" s="39">
        <v>243199776.51</v>
      </c>
      <c r="W75" s="39">
        <v>0</v>
      </c>
      <c r="X75" s="39">
        <v>0</v>
      </c>
      <c r="Y75" s="39">
        <v>0</v>
      </c>
      <c r="Z75" s="13"/>
    </row>
    <row r="76" spans="1:26" ht="12.75">
      <c r="A76" s="49">
        <f t="shared" si="0"/>
        <v>62</v>
      </c>
      <c r="B76" s="13" t="s">
        <v>238</v>
      </c>
      <c r="C76" s="13">
        <f t="shared" si="4"/>
        <v>28467.54</v>
      </c>
      <c r="D76" s="13">
        <f t="shared" si="1"/>
        <v>57040.39</v>
      </c>
      <c r="E76" s="13"/>
      <c r="F76" s="13"/>
      <c r="G76" s="13">
        <f t="shared" si="5"/>
        <v>42754</v>
      </c>
      <c r="H76" s="13"/>
      <c r="I76" s="13">
        <f t="shared" si="6"/>
        <v>1192.7</v>
      </c>
      <c r="J76" s="13">
        <f t="shared" si="6"/>
        <v>10902.77</v>
      </c>
      <c r="K76" s="13">
        <f t="shared" si="6"/>
        <v>200.32</v>
      </c>
      <c r="L76" s="13">
        <f t="shared" si="6"/>
        <v>30458.175</v>
      </c>
      <c r="M76" s="13">
        <f t="shared" si="6"/>
        <v>0</v>
      </c>
      <c r="N76" s="13"/>
      <c r="O76" s="14">
        <v>338.23</v>
      </c>
      <c r="P76" s="14">
        <v>6452.78</v>
      </c>
      <c r="Q76" s="14">
        <v>217.88</v>
      </c>
      <c r="R76" s="14">
        <v>21458.65</v>
      </c>
      <c r="S76" s="39">
        <v>0</v>
      </c>
      <c r="T76" s="13"/>
      <c r="U76" s="39">
        <v>2047.17</v>
      </c>
      <c r="V76" s="39">
        <v>15352.76</v>
      </c>
      <c r="W76" s="39">
        <v>182.76</v>
      </c>
      <c r="X76" s="39">
        <v>39457.7</v>
      </c>
      <c r="Y76" s="39">
        <v>0</v>
      </c>
      <c r="Z76" s="13"/>
    </row>
    <row r="77" spans="1:26" ht="12.75">
      <c r="A77" s="49">
        <f t="shared" si="0"/>
        <v>63</v>
      </c>
      <c r="B77" s="13" t="s">
        <v>426</v>
      </c>
      <c r="C77" s="13">
        <f t="shared" si="4"/>
        <v>-0.25</v>
      </c>
      <c r="D77" s="13">
        <f t="shared" si="1"/>
        <v>-0.25</v>
      </c>
      <c r="E77" s="13"/>
      <c r="F77" s="13"/>
      <c r="G77" s="13">
        <f t="shared" si="5"/>
        <v>0</v>
      </c>
      <c r="H77" s="13"/>
      <c r="I77" s="13">
        <f t="shared" si="6"/>
        <v>0</v>
      </c>
      <c r="J77" s="13">
        <f t="shared" si="6"/>
        <v>0</v>
      </c>
      <c r="K77" s="13">
        <f t="shared" si="6"/>
        <v>0</v>
      </c>
      <c r="L77" s="13">
        <f t="shared" si="6"/>
        <v>-0.25</v>
      </c>
      <c r="M77" s="13">
        <f t="shared" si="6"/>
        <v>0</v>
      </c>
      <c r="N77" s="13"/>
      <c r="O77" s="14">
        <v>0</v>
      </c>
      <c r="P77" s="14">
        <v>0</v>
      </c>
      <c r="Q77" s="14">
        <v>0</v>
      </c>
      <c r="R77" s="14">
        <v>-0.25</v>
      </c>
      <c r="S77" s="39">
        <v>0</v>
      </c>
      <c r="T77" s="13"/>
      <c r="U77" s="39">
        <v>0</v>
      </c>
      <c r="V77" s="39">
        <v>0</v>
      </c>
      <c r="W77" s="39">
        <v>0</v>
      </c>
      <c r="X77" s="39">
        <v>-0.25</v>
      </c>
      <c r="Y77" s="39">
        <v>0</v>
      </c>
      <c r="Z77" s="13"/>
    </row>
    <row r="78" spans="1:26" ht="12.75">
      <c r="A78" s="49">
        <f t="shared" si="0"/>
        <v>64</v>
      </c>
      <c r="B78" s="13" t="s">
        <v>427</v>
      </c>
      <c r="C78" s="13">
        <f t="shared" si="4"/>
        <v>4198278.32</v>
      </c>
      <c r="D78" s="13">
        <f t="shared" si="1"/>
        <v>4196366.62</v>
      </c>
      <c r="E78" s="13"/>
      <c r="F78" s="13"/>
      <c r="G78" s="13">
        <f t="shared" si="5"/>
        <v>4197322</v>
      </c>
      <c r="H78" s="13"/>
      <c r="I78" s="13">
        <f t="shared" si="6"/>
        <v>0</v>
      </c>
      <c r="J78" s="13">
        <f t="shared" si="6"/>
        <v>4197322.470000001</v>
      </c>
      <c r="K78" s="13">
        <f t="shared" si="6"/>
        <v>0</v>
      </c>
      <c r="L78" s="13">
        <f t="shared" si="6"/>
        <v>0</v>
      </c>
      <c r="M78" s="13">
        <f t="shared" si="6"/>
        <v>0</v>
      </c>
      <c r="N78" s="13"/>
      <c r="O78" s="14">
        <v>0</v>
      </c>
      <c r="P78" s="14">
        <v>4198278.32</v>
      </c>
      <c r="Q78" s="14">
        <v>0</v>
      </c>
      <c r="R78" s="14">
        <v>0</v>
      </c>
      <c r="S78" s="39">
        <v>0</v>
      </c>
      <c r="T78" s="13"/>
      <c r="U78" s="39">
        <v>0</v>
      </c>
      <c r="V78" s="39">
        <f>4196676.62-310</f>
        <v>4196366.62</v>
      </c>
      <c r="W78" s="39">
        <v>0</v>
      </c>
      <c r="X78" s="39">
        <v>0</v>
      </c>
      <c r="Y78" s="39">
        <v>0</v>
      </c>
      <c r="Z78" s="13"/>
    </row>
    <row r="79" spans="1:26" ht="12.75">
      <c r="A79" s="49">
        <f t="shared" si="0"/>
        <v>65</v>
      </c>
      <c r="B79" s="13" t="s">
        <v>428</v>
      </c>
      <c r="C79" s="13">
        <f t="shared" si="4"/>
        <v>26909333.16</v>
      </c>
      <c r="D79" s="13">
        <f t="shared" si="1"/>
        <v>26880237.31</v>
      </c>
      <c r="E79" s="13"/>
      <c r="F79" s="13"/>
      <c r="G79" s="13">
        <f t="shared" si="5"/>
        <v>26894785</v>
      </c>
      <c r="H79" s="13"/>
      <c r="I79" s="13">
        <f t="shared" si="6"/>
        <v>0</v>
      </c>
      <c r="J79" s="13">
        <f t="shared" si="6"/>
        <v>26894785.235</v>
      </c>
      <c r="K79" s="13">
        <f t="shared" si="6"/>
        <v>0</v>
      </c>
      <c r="L79" s="13">
        <f t="shared" si="6"/>
        <v>0</v>
      </c>
      <c r="M79" s="13">
        <f t="shared" si="6"/>
        <v>0</v>
      </c>
      <c r="N79" s="13"/>
      <c r="O79" s="14">
        <v>0</v>
      </c>
      <c r="P79" s="14">
        <v>26909333.16</v>
      </c>
      <c r="Q79" s="14">
        <v>0</v>
      </c>
      <c r="R79" s="14">
        <v>0</v>
      </c>
      <c r="S79" s="39">
        <v>0</v>
      </c>
      <c r="T79" s="13"/>
      <c r="U79" s="39">
        <v>0</v>
      </c>
      <c r="V79" s="39">
        <f>26879640.31+597</f>
        <v>26880237.31</v>
      </c>
      <c r="W79" s="39">
        <v>0</v>
      </c>
      <c r="X79" s="39">
        <v>0</v>
      </c>
      <c r="Y79" s="39">
        <v>0</v>
      </c>
      <c r="Z79" s="13"/>
    </row>
    <row r="80" spans="1:26" ht="12.75">
      <c r="A80" s="49">
        <f aca="true" t="shared" si="7" ref="A80:A129">A79+1</f>
        <v>66</v>
      </c>
      <c r="B80" s="13" t="s">
        <v>429</v>
      </c>
      <c r="C80" s="13">
        <f t="shared" si="4"/>
        <v>8960543.06</v>
      </c>
      <c r="D80" s="13">
        <f t="shared" si="1"/>
        <v>8959030.01</v>
      </c>
      <c r="E80" s="13"/>
      <c r="F80" s="13"/>
      <c r="G80" s="13">
        <f t="shared" si="5"/>
        <v>8959787</v>
      </c>
      <c r="H80" s="13"/>
      <c r="I80" s="13">
        <f t="shared" si="6"/>
        <v>0</v>
      </c>
      <c r="J80" s="13">
        <f t="shared" si="6"/>
        <v>8959786.535</v>
      </c>
      <c r="K80" s="13">
        <f t="shared" si="6"/>
        <v>0</v>
      </c>
      <c r="L80" s="13">
        <f t="shared" si="6"/>
        <v>0</v>
      </c>
      <c r="M80" s="13">
        <f t="shared" si="6"/>
        <v>0</v>
      </c>
      <c r="N80" s="13"/>
      <c r="O80" s="14">
        <v>0</v>
      </c>
      <c r="P80" s="14">
        <v>8960543.06</v>
      </c>
      <c r="Q80" s="14">
        <v>0</v>
      </c>
      <c r="R80" s="14">
        <v>0</v>
      </c>
      <c r="S80" s="39">
        <v>0</v>
      </c>
      <c r="T80" s="13"/>
      <c r="U80" s="39">
        <v>0</v>
      </c>
      <c r="V80" s="39">
        <f>8959007.01+23</f>
        <v>8959030.01</v>
      </c>
      <c r="W80" s="39">
        <v>0</v>
      </c>
      <c r="X80" s="39">
        <v>0</v>
      </c>
      <c r="Y80" s="39">
        <v>0</v>
      </c>
      <c r="Z80" s="13"/>
    </row>
    <row r="81" spans="1:26" ht="12.75">
      <c r="A81" s="49">
        <f t="shared" si="7"/>
        <v>67</v>
      </c>
      <c r="B81" s="13" t="s">
        <v>430</v>
      </c>
      <c r="C81" s="13">
        <f t="shared" si="4"/>
        <v>-24467703</v>
      </c>
      <c r="D81" s="13">
        <f t="shared" si="1"/>
        <v>-24467703</v>
      </c>
      <c r="E81" s="13"/>
      <c r="F81" s="13"/>
      <c r="G81" s="13">
        <f t="shared" si="5"/>
        <v>-24467703</v>
      </c>
      <c r="H81" s="13"/>
      <c r="I81" s="13">
        <f t="shared" si="6"/>
        <v>0</v>
      </c>
      <c r="J81" s="13">
        <f t="shared" si="6"/>
        <v>-24467703</v>
      </c>
      <c r="K81" s="13">
        <f t="shared" si="6"/>
        <v>0</v>
      </c>
      <c r="L81" s="13">
        <f t="shared" si="6"/>
        <v>0</v>
      </c>
      <c r="M81" s="13">
        <f t="shared" si="6"/>
        <v>0</v>
      </c>
      <c r="N81" s="13"/>
      <c r="O81" s="14">
        <v>0</v>
      </c>
      <c r="P81" s="14">
        <v>-24467703</v>
      </c>
      <c r="Q81" s="14">
        <v>0</v>
      </c>
      <c r="R81" s="14">
        <v>0</v>
      </c>
      <c r="S81" s="39">
        <v>0</v>
      </c>
      <c r="T81" s="13"/>
      <c r="U81" s="39">
        <v>0</v>
      </c>
      <c r="V81" s="39">
        <v>-24467703</v>
      </c>
      <c r="W81" s="39">
        <v>0</v>
      </c>
      <c r="X81" s="39">
        <v>0</v>
      </c>
      <c r="Y81" s="39">
        <v>0</v>
      </c>
      <c r="Z81" s="13"/>
    </row>
    <row r="82" spans="1:26" ht="12.75">
      <c r="A82" s="49">
        <f t="shared" si="7"/>
        <v>68</v>
      </c>
      <c r="B82" s="13" t="s">
        <v>431</v>
      </c>
      <c r="C82" s="13">
        <f>SUM(O82:S82)</f>
        <v>0</v>
      </c>
      <c r="D82" s="13">
        <f>SUM(U82:Y82)</f>
        <v>0</v>
      </c>
      <c r="E82" s="13"/>
      <c r="F82" s="13"/>
      <c r="G82" s="13">
        <f>ROUND(SUM(C82:F82)/2,0)</f>
        <v>0</v>
      </c>
      <c r="H82" s="13"/>
      <c r="I82" s="13">
        <f t="shared" si="6"/>
        <v>0</v>
      </c>
      <c r="J82" s="13">
        <f t="shared" si="6"/>
        <v>0</v>
      </c>
      <c r="K82" s="13">
        <f t="shared" si="6"/>
        <v>0</v>
      </c>
      <c r="L82" s="13">
        <f t="shared" si="6"/>
        <v>0</v>
      </c>
      <c r="M82" s="13">
        <f t="shared" si="6"/>
        <v>0</v>
      </c>
      <c r="N82" s="13"/>
      <c r="O82" s="14">
        <v>0</v>
      </c>
      <c r="P82" s="14">
        <v>0</v>
      </c>
      <c r="Q82" s="14">
        <v>0</v>
      </c>
      <c r="R82" s="14">
        <v>0</v>
      </c>
      <c r="S82" s="39">
        <v>0</v>
      </c>
      <c r="T82" s="13"/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13"/>
    </row>
    <row r="83" spans="1:26" ht="12.75">
      <c r="A83" s="49">
        <f t="shared" si="7"/>
        <v>69</v>
      </c>
      <c r="B83" s="13" t="s">
        <v>432</v>
      </c>
      <c r="C83" s="13">
        <f t="shared" si="4"/>
        <v>14664737.58</v>
      </c>
      <c r="D83" s="13">
        <f t="shared" si="1"/>
        <v>14659602.73</v>
      </c>
      <c r="E83" s="13"/>
      <c r="F83" s="13"/>
      <c r="G83" s="13">
        <f t="shared" si="5"/>
        <v>14662170</v>
      </c>
      <c r="H83" s="13"/>
      <c r="I83" s="13">
        <f t="shared" si="6"/>
        <v>0</v>
      </c>
      <c r="J83" s="13">
        <f t="shared" si="6"/>
        <v>14662170.155000001</v>
      </c>
      <c r="K83" s="13">
        <f t="shared" si="6"/>
        <v>0</v>
      </c>
      <c r="L83" s="13">
        <f t="shared" si="6"/>
        <v>0</v>
      </c>
      <c r="M83" s="13">
        <f t="shared" si="6"/>
        <v>0</v>
      </c>
      <c r="N83" s="13"/>
      <c r="O83" s="14">
        <v>0</v>
      </c>
      <c r="P83" s="14">
        <v>14664737.58</v>
      </c>
      <c r="Q83" s="14">
        <v>0</v>
      </c>
      <c r="R83" s="14">
        <v>0</v>
      </c>
      <c r="S83" s="39">
        <v>0</v>
      </c>
      <c r="T83" s="13"/>
      <c r="U83" s="39">
        <v>0</v>
      </c>
      <c r="V83" s="39">
        <v>14659602.73</v>
      </c>
      <c r="W83" s="39">
        <v>0</v>
      </c>
      <c r="X83" s="39">
        <v>0</v>
      </c>
      <c r="Y83" s="39">
        <v>0</v>
      </c>
      <c r="Z83" s="13"/>
    </row>
    <row r="84" spans="1:26" ht="12.75">
      <c r="A84" s="49">
        <f t="shared" si="7"/>
        <v>70</v>
      </c>
      <c r="B84" s="13" t="s">
        <v>433</v>
      </c>
      <c r="C84" s="13">
        <f t="shared" si="4"/>
        <v>44944095.04</v>
      </c>
      <c r="D84" s="13">
        <f t="shared" si="1"/>
        <v>44905334.64</v>
      </c>
      <c r="E84" s="13"/>
      <c r="F84" s="13"/>
      <c r="G84" s="13">
        <f t="shared" si="5"/>
        <v>44924715</v>
      </c>
      <c r="H84" s="13"/>
      <c r="I84" s="13">
        <f t="shared" si="6"/>
        <v>0</v>
      </c>
      <c r="J84" s="13">
        <f t="shared" si="6"/>
        <v>44924714.84</v>
      </c>
      <c r="K84" s="13">
        <f t="shared" si="6"/>
        <v>0</v>
      </c>
      <c r="L84" s="13">
        <f t="shared" si="6"/>
        <v>0</v>
      </c>
      <c r="M84" s="13">
        <f t="shared" si="6"/>
        <v>0</v>
      </c>
      <c r="N84" s="13"/>
      <c r="O84" s="14">
        <v>0</v>
      </c>
      <c r="P84" s="14">
        <v>44944095.04</v>
      </c>
      <c r="Q84" s="14">
        <v>0</v>
      </c>
      <c r="R84" s="14">
        <v>0</v>
      </c>
      <c r="S84" s="39">
        <v>0</v>
      </c>
      <c r="T84" s="13"/>
      <c r="U84" s="39">
        <v>0</v>
      </c>
      <c r="V84" s="39">
        <v>44905334.64</v>
      </c>
      <c r="W84" s="39">
        <v>0</v>
      </c>
      <c r="X84" s="39">
        <v>0</v>
      </c>
      <c r="Y84" s="39">
        <v>0</v>
      </c>
      <c r="Z84" s="13"/>
    </row>
    <row r="85" spans="1:26" ht="12.75">
      <c r="A85" s="49">
        <f t="shared" si="7"/>
        <v>71</v>
      </c>
      <c r="B85" s="13" t="s">
        <v>434</v>
      </c>
      <c r="C85" s="13">
        <f t="shared" si="4"/>
        <v>8480283.73</v>
      </c>
      <c r="D85" s="13">
        <f t="shared" si="1"/>
        <v>8474562.63</v>
      </c>
      <c r="E85" s="13"/>
      <c r="F85" s="13"/>
      <c r="G85" s="13">
        <f t="shared" si="5"/>
        <v>8477423</v>
      </c>
      <c r="H85" s="13"/>
      <c r="I85" s="13">
        <f t="shared" si="6"/>
        <v>0</v>
      </c>
      <c r="J85" s="13">
        <f t="shared" si="6"/>
        <v>8477423.18</v>
      </c>
      <c r="K85" s="13">
        <f t="shared" si="6"/>
        <v>0</v>
      </c>
      <c r="L85" s="13">
        <f t="shared" si="6"/>
        <v>0</v>
      </c>
      <c r="M85" s="13">
        <f t="shared" si="6"/>
        <v>0</v>
      </c>
      <c r="N85" s="13"/>
      <c r="O85" s="14">
        <v>0</v>
      </c>
      <c r="P85" s="14">
        <v>8480283.73</v>
      </c>
      <c r="Q85" s="14">
        <v>0</v>
      </c>
      <c r="R85" s="14">
        <v>0</v>
      </c>
      <c r="S85" s="39">
        <v>0</v>
      </c>
      <c r="T85" s="13"/>
      <c r="U85" s="39">
        <v>0</v>
      </c>
      <c r="V85" s="39">
        <v>8474562.63</v>
      </c>
      <c r="W85" s="39">
        <v>0</v>
      </c>
      <c r="X85" s="39">
        <v>0</v>
      </c>
      <c r="Y85" s="39">
        <v>0</v>
      </c>
      <c r="Z85" s="13"/>
    </row>
    <row r="86" spans="1:26" ht="12.75">
      <c r="A86" s="49">
        <f t="shared" si="7"/>
        <v>72</v>
      </c>
      <c r="B86" s="13" t="s">
        <v>435</v>
      </c>
      <c r="C86" s="13">
        <f t="shared" si="4"/>
        <v>-68482867.71</v>
      </c>
      <c r="D86" s="13">
        <f t="shared" si="1"/>
        <v>-68458007.75</v>
      </c>
      <c r="E86" s="13"/>
      <c r="F86" s="13"/>
      <c r="G86" s="13">
        <f t="shared" si="5"/>
        <v>-68470438</v>
      </c>
      <c r="H86" s="13"/>
      <c r="I86" s="13">
        <f t="shared" si="6"/>
        <v>0</v>
      </c>
      <c r="J86" s="13">
        <f t="shared" si="6"/>
        <v>-68470437.72999999</v>
      </c>
      <c r="K86" s="13">
        <f t="shared" si="6"/>
        <v>0</v>
      </c>
      <c r="L86" s="13">
        <f t="shared" si="6"/>
        <v>0</v>
      </c>
      <c r="M86" s="13">
        <f t="shared" si="6"/>
        <v>0</v>
      </c>
      <c r="N86" s="13"/>
      <c r="O86" s="14">
        <v>0</v>
      </c>
      <c r="P86" s="14">
        <v>-68482867.71</v>
      </c>
      <c r="Q86" s="14">
        <v>0</v>
      </c>
      <c r="R86" s="14">
        <v>0</v>
      </c>
      <c r="S86" s="39">
        <v>0</v>
      </c>
      <c r="T86" s="13"/>
      <c r="U86" s="39">
        <v>0</v>
      </c>
      <c r="V86" s="39">
        <v>-68458007.75</v>
      </c>
      <c r="W86" s="39">
        <v>0</v>
      </c>
      <c r="X86" s="39">
        <v>0</v>
      </c>
      <c r="Y86" s="39">
        <v>0</v>
      </c>
      <c r="Z86" s="13"/>
    </row>
    <row r="87" spans="1:26" ht="12.75">
      <c r="A87" s="49">
        <f t="shared" si="7"/>
        <v>73</v>
      </c>
      <c r="B87" s="13" t="s">
        <v>436</v>
      </c>
      <c r="C87" s="13">
        <f t="shared" si="4"/>
        <v>0</v>
      </c>
      <c r="D87" s="13">
        <f t="shared" si="1"/>
        <v>0</v>
      </c>
      <c r="E87" s="13"/>
      <c r="F87" s="13"/>
      <c r="G87" s="13">
        <f t="shared" si="5"/>
        <v>0</v>
      </c>
      <c r="H87" s="13"/>
      <c r="I87" s="13">
        <f t="shared" si="6"/>
        <v>0</v>
      </c>
      <c r="J87" s="13">
        <f t="shared" si="6"/>
        <v>0</v>
      </c>
      <c r="K87" s="13">
        <f t="shared" si="6"/>
        <v>0</v>
      </c>
      <c r="L87" s="13">
        <f t="shared" si="6"/>
        <v>0</v>
      </c>
      <c r="M87" s="13">
        <f t="shared" si="6"/>
        <v>0</v>
      </c>
      <c r="N87" s="13"/>
      <c r="O87" s="14">
        <v>0</v>
      </c>
      <c r="P87" s="14">
        <v>0</v>
      </c>
      <c r="Q87" s="14">
        <v>0</v>
      </c>
      <c r="R87" s="14">
        <v>0</v>
      </c>
      <c r="S87" s="39">
        <v>0</v>
      </c>
      <c r="T87" s="13"/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13"/>
    </row>
    <row r="88" spans="1:26" ht="12.75">
      <c r="A88" s="49">
        <f t="shared" si="7"/>
        <v>74</v>
      </c>
      <c r="B88" s="13" t="s">
        <v>437</v>
      </c>
      <c r="C88" s="13">
        <f t="shared" si="4"/>
        <v>-18182333.88</v>
      </c>
      <c r="D88" s="13">
        <f t="shared" si="1"/>
        <v>-18182333.88</v>
      </c>
      <c r="E88" s="13"/>
      <c r="F88" s="13"/>
      <c r="G88" s="13">
        <f t="shared" si="5"/>
        <v>-18182334</v>
      </c>
      <c r="H88" s="13"/>
      <c r="I88" s="13">
        <f t="shared" si="6"/>
        <v>0</v>
      </c>
      <c r="J88" s="13">
        <f t="shared" si="6"/>
        <v>-18182333.88</v>
      </c>
      <c r="K88" s="13">
        <f t="shared" si="6"/>
        <v>0</v>
      </c>
      <c r="L88" s="13">
        <f t="shared" si="6"/>
        <v>0</v>
      </c>
      <c r="M88" s="13">
        <f t="shared" si="6"/>
        <v>0</v>
      </c>
      <c r="N88" s="13"/>
      <c r="O88" s="14">
        <v>0</v>
      </c>
      <c r="P88" s="14">
        <v>-18182333.88</v>
      </c>
      <c r="Q88" s="14">
        <v>0</v>
      </c>
      <c r="R88" s="14">
        <v>0</v>
      </c>
      <c r="S88" s="39">
        <v>0</v>
      </c>
      <c r="T88" s="13"/>
      <c r="U88" s="39">
        <v>0</v>
      </c>
      <c r="V88" s="39">
        <v>-18182333.88</v>
      </c>
      <c r="W88" s="39">
        <v>0</v>
      </c>
      <c r="X88" s="39">
        <v>0</v>
      </c>
      <c r="Y88" s="39">
        <v>0</v>
      </c>
      <c r="Z88" s="13"/>
    </row>
    <row r="89" spans="1:26" ht="12.75">
      <c r="A89" s="49">
        <f t="shared" si="7"/>
        <v>75</v>
      </c>
      <c r="B89" s="13" t="s">
        <v>438</v>
      </c>
      <c r="C89" s="13">
        <f t="shared" si="4"/>
        <v>-12927858.69</v>
      </c>
      <c r="D89" s="13">
        <f t="shared" si="1"/>
        <v>-12927858.69</v>
      </c>
      <c r="E89" s="13"/>
      <c r="F89" s="13"/>
      <c r="G89" s="13">
        <f t="shared" si="5"/>
        <v>-12927859</v>
      </c>
      <c r="H89" s="13"/>
      <c r="I89" s="13">
        <f t="shared" si="6"/>
        <v>0</v>
      </c>
      <c r="J89" s="13">
        <f t="shared" si="6"/>
        <v>-12927858.69</v>
      </c>
      <c r="K89" s="13">
        <f t="shared" si="6"/>
        <v>0</v>
      </c>
      <c r="L89" s="13">
        <f t="shared" si="6"/>
        <v>0</v>
      </c>
      <c r="M89" s="13">
        <f t="shared" si="6"/>
        <v>0</v>
      </c>
      <c r="N89" s="13"/>
      <c r="O89" s="14">
        <v>0</v>
      </c>
      <c r="P89" s="14">
        <v>-12927858.69</v>
      </c>
      <c r="Q89" s="14">
        <v>0</v>
      </c>
      <c r="R89" s="14">
        <v>0</v>
      </c>
      <c r="S89" s="39">
        <v>0</v>
      </c>
      <c r="T89" s="13"/>
      <c r="U89" s="39">
        <v>0</v>
      </c>
      <c r="V89" s="39">
        <v>-12927858.69</v>
      </c>
      <c r="W89" s="39">
        <v>0</v>
      </c>
      <c r="X89" s="39">
        <v>0</v>
      </c>
      <c r="Y89" s="39">
        <v>0</v>
      </c>
      <c r="Z89" s="13"/>
    </row>
    <row r="90" spans="1:26" ht="12.75">
      <c r="A90" s="49">
        <f t="shared" si="7"/>
        <v>76</v>
      </c>
      <c r="B90" s="13" t="s">
        <v>439</v>
      </c>
      <c r="C90" s="13">
        <f t="shared" si="4"/>
        <v>-1267193.65</v>
      </c>
      <c r="D90" s="13">
        <f t="shared" si="1"/>
        <v>-1267193.65</v>
      </c>
      <c r="E90" s="13"/>
      <c r="F90" s="13"/>
      <c r="G90" s="13">
        <f t="shared" si="5"/>
        <v>-1267194</v>
      </c>
      <c r="H90" s="13"/>
      <c r="I90" s="13">
        <f t="shared" si="6"/>
        <v>0</v>
      </c>
      <c r="J90" s="13">
        <f t="shared" si="6"/>
        <v>-1267193.65</v>
      </c>
      <c r="K90" s="13">
        <f t="shared" si="6"/>
        <v>0</v>
      </c>
      <c r="L90" s="13">
        <f t="shared" si="6"/>
        <v>0</v>
      </c>
      <c r="M90" s="13">
        <f t="shared" si="6"/>
        <v>0</v>
      </c>
      <c r="N90" s="13"/>
      <c r="O90" s="14">
        <v>0</v>
      </c>
      <c r="P90" s="14">
        <v>-1267193.65</v>
      </c>
      <c r="Q90" s="14">
        <v>0</v>
      </c>
      <c r="R90" s="14">
        <v>0</v>
      </c>
      <c r="S90" s="39">
        <v>0</v>
      </c>
      <c r="T90" s="13"/>
      <c r="U90" s="39">
        <v>0</v>
      </c>
      <c r="V90" s="39">
        <v>-1267193.65</v>
      </c>
      <c r="W90" s="39">
        <v>0</v>
      </c>
      <c r="X90" s="39">
        <v>0</v>
      </c>
      <c r="Y90" s="39">
        <v>0</v>
      </c>
      <c r="Z90" s="13"/>
    </row>
    <row r="91" spans="1:26" ht="12.75">
      <c r="A91" s="49">
        <f t="shared" si="7"/>
        <v>77</v>
      </c>
      <c r="B91" s="13" t="s">
        <v>440</v>
      </c>
      <c r="C91" s="13">
        <f t="shared" si="4"/>
        <v>5854548.84</v>
      </c>
      <c r="D91" s="13">
        <f t="shared" si="1"/>
        <v>5854547.44</v>
      </c>
      <c r="E91" s="13"/>
      <c r="F91" s="13"/>
      <c r="G91" s="13">
        <f t="shared" si="5"/>
        <v>5854548</v>
      </c>
      <c r="H91" s="13"/>
      <c r="I91" s="13">
        <f t="shared" si="6"/>
        <v>0</v>
      </c>
      <c r="J91" s="13">
        <f t="shared" si="6"/>
        <v>5854548.140000001</v>
      </c>
      <c r="K91" s="13">
        <f t="shared" si="6"/>
        <v>0</v>
      </c>
      <c r="L91" s="13">
        <f t="shared" si="6"/>
        <v>0</v>
      </c>
      <c r="M91" s="13">
        <f t="shared" si="6"/>
        <v>0</v>
      </c>
      <c r="N91" s="13"/>
      <c r="O91" s="14">
        <v>0</v>
      </c>
      <c r="P91" s="14">
        <v>5854548.84</v>
      </c>
      <c r="Q91" s="14">
        <v>0</v>
      </c>
      <c r="R91" s="14">
        <v>0</v>
      </c>
      <c r="S91" s="39">
        <v>0</v>
      </c>
      <c r="T91" s="13"/>
      <c r="U91" s="39">
        <v>0</v>
      </c>
      <c r="V91" s="39">
        <v>5854547.44</v>
      </c>
      <c r="W91" s="39">
        <v>0</v>
      </c>
      <c r="X91" s="39">
        <v>0</v>
      </c>
      <c r="Y91" s="39">
        <v>0</v>
      </c>
      <c r="Z91" s="13"/>
    </row>
    <row r="92" spans="1:26" ht="12.75">
      <c r="A92" s="49">
        <f t="shared" si="7"/>
        <v>78</v>
      </c>
      <c r="B92" s="13" t="s">
        <v>441</v>
      </c>
      <c r="C92" s="13">
        <f t="shared" si="4"/>
        <v>24252785.84</v>
      </c>
      <c r="D92" s="13">
        <f t="shared" si="1"/>
        <v>24252784.44</v>
      </c>
      <c r="E92" s="13"/>
      <c r="F92" s="13"/>
      <c r="G92" s="13">
        <f t="shared" si="5"/>
        <v>24252785</v>
      </c>
      <c r="H92" s="13"/>
      <c r="I92" s="13">
        <f t="shared" si="6"/>
        <v>0</v>
      </c>
      <c r="J92" s="13">
        <f t="shared" si="6"/>
        <v>24252785.14</v>
      </c>
      <c r="K92" s="13">
        <f t="shared" si="6"/>
        <v>0</v>
      </c>
      <c r="L92" s="13">
        <f t="shared" si="6"/>
        <v>0</v>
      </c>
      <c r="M92" s="13">
        <f t="shared" si="6"/>
        <v>0</v>
      </c>
      <c r="N92" s="13"/>
      <c r="O92" s="14">
        <v>0</v>
      </c>
      <c r="P92" s="14">
        <v>24252785.84</v>
      </c>
      <c r="Q92" s="14">
        <v>0</v>
      </c>
      <c r="R92" s="14">
        <v>0</v>
      </c>
      <c r="S92" s="39">
        <v>0</v>
      </c>
      <c r="T92" s="13"/>
      <c r="U92" s="39">
        <v>0</v>
      </c>
      <c r="V92" s="39">
        <v>24252784.44</v>
      </c>
      <c r="W92" s="39">
        <v>0</v>
      </c>
      <c r="X92" s="39">
        <v>0</v>
      </c>
      <c r="Y92" s="39">
        <v>0</v>
      </c>
      <c r="Z92" s="13"/>
    </row>
    <row r="93" spans="1:26" ht="12.75">
      <c r="A93" s="49">
        <f t="shared" si="7"/>
        <v>79</v>
      </c>
      <c r="B93" s="13" t="s">
        <v>442</v>
      </c>
      <c r="C93" s="13">
        <f t="shared" si="4"/>
        <v>1829300.04</v>
      </c>
      <c r="D93" s="13">
        <f t="shared" si="1"/>
        <v>1829298.99</v>
      </c>
      <c r="E93" s="13"/>
      <c r="F93" s="13"/>
      <c r="G93" s="13">
        <f t="shared" si="5"/>
        <v>1829300</v>
      </c>
      <c r="H93" s="13"/>
      <c r="I93" s="13">
        <f t="shared" si="6"/>
        <v>0</v>
      </c>
      <c r="J93" s="13">
        <f t="shared" si="6"/>
        <v>1829299.5150000001</v>
      </c>
      <c r="K93" s="13">
        <f t="shared" si="6"/>
        <v>0</v>
      </c>
      <c r="L93" s="13">
        <f t="shared" si="6"/>
        <v>0</v>
      </c>
      <c r="M93" s="13">
        <f t="shared" si="6"/>
        <v>0</v>
      </c>
      <c r="N93" s="13"/>
      <c r="O93" s="14">
        <v>0</v>
      </c>
      <c r="P93" s="14">
        <v>1829300.04</v>
      </c>
      <c r="Q93" s="14">
        <v>0</v>
      </c>
      <c r="R93" s="14">
        <v>0</v>
      </c>
      <c r="S93" s="39">
        <v>0</v>
      </c>
      <c r="T93" s="13"/>
      <c r="U93" s="39">
        <v>0</v>
      </c>
      <c r="V93" s="39">
        <v>1829298.99</v>
      </c>
      <c r="W93" s="39">
        <v>0</v>
      </c>
      <c r="X93" s="39">
        <v>0</v>
      </c>
      <c r="Y93" s="39">
        <v>0</v>
      </c>
      <c r="Z93" s="13"/>
    </row>
    <row r="94" spans="1:26" ht="12.75">
      <c r="A94" s="49">
        <f t="shared" si="7"/>
        <v>80</v>
      </c>
      <c r="B94" s="13" t="s">
        <v>443</v>
      </c>
      <c r="C94" s="13">
        <f t="shared" si="4"/>
        <v>4643.47</v>
      </c>
      <c r="D94" s="13">
        <f t="shared" si="1"/>
        <v>5242.639999999999</v>
      </c>
      <c r="E94" s="13"/>
      <c r="F94" s="13"/>
      <c r="G94" s="13">
        <f t="shared" si="5"/>
        <v>4943</v>
      </c>
      <c r="H94" s="13"/>
      <c r="I94" s="13">
        <f t="shared" si="6"/>
        <v>159.69</v>
      </c>
      <c r="J94" s="13">
        <f t="shared" si="6"/>
        <v>2629.87</v>
      </c>
      <c r="K94" s="13">
        <f t="shared" si="6"/>
        <v>1051.675</v>
      </c>
      <c r="L94" s="13">
        <f t="shared" si="6"/>
        <v>1101.82</v>
      </c>
      <c r="M94" s="13">
        <f t="shared" si="6"/>
        <v>0</v>
      </c>
      <c r="N94" s="13"/>
      <c r="O94" s="14">
        <v>150.03</v>
      </c>
      <c r="P94" s="14">
        <v>2470.5</v>
      </c>
      <c r="Q94" s="14">
        <v>987.92</v>
      </c>
      <c r="R94" s="14">
        <v>1035.02</v>
      </c>
      <c r="S94" s="39">
        <v>0</v>
      </c>
      <c r="T94" s="13"/>
      <c r="U94" s="39">
        <v>169.35</v>
      </c>
      <c r="V94" s="39">
        <v>2789.24</v>
      </c>
      <c r="W94" s="39">
        <v>1115.43</v>
      </c>
      <c r="X94" s="39">
        <v>1168.62</v>
      </c>
      <c r="Y94" s="39">
        <v>0</v>
      </c>
      <c r="Z94" s="13"/>
    </row>
    <row r="95" spans="1:26" ht="12.75">
      <c r="A95" s="49">
        <f t="shared" si="7"/>
        <v>81</v>
      </c>
      <c r="B95" s="13" t="s">
        <v>240</v>
      </c>
      <c r="C95" s="13">
        <f t="shared" si="4"/>
        <v>-8811281.98</v>
      </c>
      <c r="D95" s="13">
        <f t="shared" si="1"/>
        <v>-5277252.27</v>
      </c>
      <c r="E95" s="13"/>
      <c r="F95" s="13"/>
      <c r="G95" s="13">
        <f t="shared" si="5"/>
        <v>-7044267</v>
      </c>
      <c r="H95" s="13"/>
      <c r="I95" s="13">
        <f t="shared" si="6"/>
        <v>-1642346.815</v>
      </c>
      <c r="J95" s="13">
        <f t="shared" si="6"/>
        <v>-2410409.5100000002</v>
      </c>
      <c r="K95" s="13">
        <f t="shared" si="6"/>
        <v>-381154.55500000005</v>
      </c>
      <c r="L95" s="13">
        <f t="shared" si="6"/>
        <v>-2610356.245</v>
      </c>
      <c r="M95" s="13">
        <f t="shared" si="6"/>
        <v>0</v>
      </c>
      <c r="N95" s="13"/>
      <c r="O95" s="14">
        <v>-1975635.31</v>
      </c>
      <c r="P95" s="14">
        <v>-3168189.7</v>
      </c>
      <c r="Q95" s="14">
        <v>-485215.77</v>
      </c>
      <c r="R95" s="14">
        <v>-3182241.2</v>
      </c>
      <c r="S95" s="39">
        <v>0</v>
      </c>
      <c r="T95" s="13"/>
      <c r="U95" s="39">
        <v>-1309058.32</v>
      </c>
      <c r="V95" s="39">
        <v>-1652629.32</v>
      </c>
      <c r="W95" s="39">
        <v>-277093.34</v>
      </c>
      <c r="X95" s="39">
        <v>-2038471.29</v>
      </c>
      <c r="Y95" s="39">
        <v>0</v>
      </c>
      <c r="Z95" s="13"/>
    </row>
    <row r="96" spans="1:26" ht="12.75">
      <c r="A96" s="49">
        <f t="shared" si="7"/>
        <v>82</v>
      </c>
      <c r="B96" s="13" t="s">
        <v>242</v>
      </c>
      <c r="C96" s="13">
        <f>SUM(O96:S96)</f>
        <v>385953.88999999996</v>
      </c>
      <c r="D96" s="13">
        <f>SUM(U96:Y96)</f>
        <v>-9192411.11</v>
      </c>
      <c r="E96" s="13"/>
      <c r="F96" s="13"/>
      <c r="G96" s="13">
        <f>ROUND(SUM(C96:F96)/2,0)</f>
        <v>-4403229</v>
      </c>
      <c r="H96" s="13"/>
      <c r="I96" s="13">
        <f t="shared" si="6"/>
        <v>-827578.405</v>
      </c>
      <c r="J96" s="13">
        <f t="shared" si="6"/>
        <v>-1251034.59</v>
      </c>
      <c r="K96" s="13">
        <f t="shared" si="6"/>
        <v>-348076.42000000004</v>
      </c>
      <c r="L96" s="13">
        <f t="shared" si="6"/>
        <v>-1976539.1949999998</v>
      </c>
      <c r="M96" s="13">
        <f t="shared" si="6"/>
        <v>0</v>
      </c>
      <c r="N96" s="13"/>
      <c r="O96" s="14">
        <v>211354.66</v>
      </c>
      <c r="P96" s="14">
        <v>366281.84</v>
      </c>
      <c r="Q96" s="14">
        <v>27228.46</v>
      </c>
      <c r="R96" s="14">
        <v>-218911.07</v>
      </c>
      <c r="S96" s="39">
        <v>0</v>
      </c>
      <c r="T96" s="13"/>
      <c r="U96" s="39">
        <v>-1866511.47</v>
      </c>
      <c r="V96" s="39">
        <v>-2868351.02</v>
      </c>
      <c r="W96" s="39">
        <v>-723381.3</v>
      </c>
      <c r="X96" s="39">
        <v>-3734167.32</v>
      </c>
      <c r="Y96" s="39">
        <v>0</v>
      </c>
      <c r="Z96" s="13"/>
    </row>
    <row r="97" spans="1:26" ht="12.75">
      <c r="A97" s="49">
        <f t="shared" si="7"/>
        <v>83</v>
      </c>
      <c r="B97" s="13" t="s">
        <v>243</v>
      </c>
      <c r="C97" s="13">
        <f t="shared" si="4"/>
        <v>2077076.13</v>
      </c>
      <c r="D97" s="13">
        <f t="shared" si="1"/>
        <v>2049925.8800000001</v>
      </c>
      <c r="E97" s="13"/>
      <c r="F97" s="13"/>
      <c r="G97" s="13">
        <f t="shared" si="5"/>
        <v>2063501</v>
      </c>
      <c r="H97" s="13"/>
      <c r="I97" s="13">
        <f t="shared" si="6"/>
        <v>525091.02</v>
      </c>
      <c r="J97" s="13">
        <f t="shared" si="6"/>
        <v>870559.8999999999</v>
      </c>
      <c r="K97" s="13">
        <f t="shared" si="6"/>
        <v>86457.315</v>
      </c>
      <c r="L97" s="13">
        <f t="shared" si="6"/>
        <v>581392.77</v>
      </c>
      <c r="M97" s="13">
        <f t="shared" si="6"/>
        <v>0</v>
      </c>
      <c r="N97" s="13"/>
      <c r="O97" s="14">
        <v>490432.44</v>
      </c>
      <c r="P97" s="14">
        <v>831791.94</v>
      </c>
      <c r="Q97" s="14">
        <v>92042.02</v>
      </c>
      <c r="R97" s="14">
        <v>662809.73</v>
      </c>
      <c r="S97" s="39">
        <v>0</v>
      </c>
      <c r="T97" s="13"/>
      <c r="U97" s="39">
        <v>559749.6</v>
      </c>
      <c r="V97" s="39">
        <v>909327.86</v>
      </c>
      <c r="W97" s="39">
        <v>80872.61</v>
      </c>
      <c r="X97" s="39">
        <v>499975.81</v>
      </c>
      <c r="Y97" s="39">
        <v>0</v>
      </c>
      <c r="Z97" s="13"/>
    </row>
    <row r="98" spans="1:26" ht="12.75">
      <c r="A98" s="49">
        <f t="shared" si="7"/>
        <v>84</v>
      </c>
      <c r="B98" s="13" t="s">
        <v>444</v>
      </c>
      <c r="C98" s="13">
        <f>SUM(O98:S98)</f>
        <v>0.02</v>
      </c>
      <c r="D98" s="13">
        <f>SUM(U98:Y98)</f>
        <v>0.02</v>
      </c>
      <c r="E98" s="13"/>
      <c r="F98" s="13"/>
      <c r="G98" s="13">
        <f>ROUND(SUM(C98:F98)/2,0)</f>
        <v>0</v>
      </c>
      <c r="H98" s="13"/>
      <c r="I98" s="13">
        <f t="shared" si="6"/>
        <v>0</v>
      </c>
      <c r="J98" s="13">
        <f t="shared" si="6"/>
        <v>0</v>
      </c>
      <c r="K98" s="13">
        <f t="shared" si="6"/>
        <v>0</v>
      </c>
      <c r="L98" s="13">
        <f t="shared" si="6"/>
        <v>0.02</v>
      </c>
      <c r="M98" s="13">
        <f t="shared" si="6"/>
        <v>0</v>
      </c>
      <c r="N98" s="13"/>
      <c r="O98" s="14">
        <v>0</v>
      </c>
      <c r="P98" s="14">
        <v>0</v>
      </c>
      <c r="Q98" s="14">
        <v>0</v>
      </c>
      <c r="R98" s="14">
        <v>0.02</v>
      </c>
      <c r="S98" s="39">
        <v>0</v>
      </c>
      <c r="T98" s="13"/>
      <c r="U98" s="39">
        <v>0</v>
      </c>
      <c r="V98" s="39">
        <v>0</v>
      </c>
      <c r="W98" s="39">
        <v>0</v>
      </c>
      <c r="X98" s="39">
        <v>0.02</v>
      </c>
      <c r="Y98" s="39">
        <v>0</v>
      </c>
      <c r="Z98" s="13"/>
    </row>
    <row r="99" spans="1:26" ht="12.75">
      <c r="A99" s="49">
        <f t="shared" si="7"/>
        <v>85</v>
      </c>
      <c r="B99" s="13" t="s">
        <v>244</v>
      </c>
      <c r="C99" s="13">
        <f t="shared" si="4"/>
        <v>438843198.28</v>
      </c>
      <c r="D99" s="13">
        <f t="shared" si="1"/>
        <v>469891991.07000005</v>
      </c>
      <c r="E99" s="13"/>
      <c r="F99" s="13"/>
      <c r="G99" s="13">
        <f t="shared" si="5"/>
        <v>454367595</v>
      </c>
      <c r="H99" s="13"/>
      <c r="I99" s="13">
        <f t="shared" si="6"/>
        <v>23285209.759999998</v>
      </c>
      <c r="J99" s="13">
        <f t="shared" si="6"/>
        <v>430849012.41499996</v>
      </c>
      <c r="K99" s="13">
        <f t="shared" si="6"/>
        <v>0.35</v>
      </c>
      <c r="L99" s="13">
        <f t="shared" si="6"/>
        <v>233372.15000000002</v>
      </c>
      <c r="M99" s="13">
        <f t="shared" si="6"/>
        <v>0</v>
      </c>
      <c r="N99" s="13"/>
      <c r="O99" s="14">
        <v>23861160.09</v>
      </c>
      <c r="P99" s="14">
        <v>414741452.08</v>
      </c>
      <c r="Q99" s="14">
        <v>0.35</v>
      </c>
      <c r="R99" s="14">
        <v>240585.76</v>
      </c>
      <c r="S99" s="39">
        <v>0</v>
      </c>
      <c r="T99" s="13"/>
      <c r="U99" s="39">
        <v>22709259.43</v>
      </c>
      <c r="V99" s="39">
        <v>446956572.75</v>
      </c>
      <c r="W99" s="39">
        <v>0.35</v>
      </c>
      <c r="X99" s="39">
        <v>226158.54</v>
      </c>
      <c r="Y99" s="39">
        <v>0</v>
      </c>
      <c r="Z99" s="13"/>
    </row>
    <row r="100" spans="1:26" ht="12.75">
      <c r="A100" s="49">
        <f t="shared" si="7"/>
        <v>86</v>
      </c>
      <c r="B100" s="13" t="s">
        <v>247</v>
      </c>
      <c r="C100" s="13">
        <f>SUM(O100:S100)</f>
        <v>83763.76</v>
      </c>
      <c r="D100" s="13">
        <f>SUM(U100:Y100)</f>
        <v>83763.76</v>
      </c>
      <c r="E100" s="13"/>
      <c r="F100" s="13"/>
      <c r="G100" s="13">
        <f>ROUND(SUM(C100:F100)/2,0)</f>
        <v>83764</v>
      </c>
      <c r="H100" s="13"/>
      <c r="I100" s="13">
        <f t="shared" si="6"/>
        <v>83763.76</v>
      </c>
      <c r="J100" s="13">
        <f t="shared" si="6"/>
        <v>0</v>
      </c>
      <c r="K100" s="13">
        <f t="shared" si="6"/>
        <v>0</v>
      </c>
      <c r="L100" s="13">
        <f t="shared" si="6"/>
        <v>0</v>
      </c>
      <c r="M100" s="13">
        <f t="shared" si="6"/>
        <v>0</v>
      </c>
      <c r="N100" s="13"/>
      <c r="O100" s="14">
        <v>83763.76</v>
      </c>
      <c r="P100" s="14">
        <v>0</v>
      </c>
      <c r="Q100" s="14">
        <v>0</v>
      </c>
      <c r="R100" s="14">
        <v>0</v>
      </c>
      <c r="S100" s="39">
        <v>0</v>
      </c>
      <c r="T100" s="13"/>
      <c r="U100" s="39">
        <v>83763.76</v>
      </c>
      <c r="V100" s="39">
        <v>0</v>
      </c>
      <c r="W100" s="39">
        <v>0</v>
      </c>
      <c r="X100" s="39">
        <v>0</v>
      </c>
      <c r="Y100" s="39">
        <v>0</v>
      </c>
      <c r="Z100" s="13"/>
    </row>
    <row r="101" spans="1:26" ht="12.75">
      <c r="A101" s="49">
        <f t="shared" si="7"/>
        <v>87</v>
      </c>
      <c r="B101" s="13" t="s">
        <v>445</v>
      </c>
      <c r="C101" s="13">
        <f aca="true" t="shared" si="8" ref="C101:C116">SUM(O101:S101)</f>
        <v>2778888</v>
      </c>
      <c r="D101" s="13">
        <f aca="true" t="shared" si="9" ref="D101:D116">SUM(U101:Y101)</f>
        <v>3175872</v>
      </c>
      <c r="E101" s="13"/>
      <c r="F101" s="13"/>
      <c r="G101" s="13">
        <f t="shared" si="5"/>
        <v>2977380</v>
      </c>
      <c r="H101" s="13"/>
      <c r="I101" s="13">
        <f t="shared" si="6"/>
        <v>2977380</v>
      </c>
      <c r="J101" s="13">
        <f t="shared" si="6"/>
        <v>0</v>
      </c>
      <c r="K101" s="13">
        <f t="shared" si="6"/>
        <v>0</v>
      </c>
      <c r="L101" s="13">
        <f t="shared" si="6"/>
        <v>0</v>
      </c>
      <c r="M101" s="13">
        <f t="shared" si="6"/>
        <v>0</v>
      </c>
      <c r="N101" s="13"/>
      <c r="O101" s="14">
        <v>2778888</v>
      </c>
      <c r="P101" s="14">
        <v>0</v>
      </c>
      <c r="Q101" s="14">
        <v>0</v>
      </c>
      <c r="R101" s="14">
        <v>0</v>
      </c>
      <c r="S101" s="39">
        <v>0</v>
      </c>
      <c r="T101" s="13"/>
      <c r="U101" s="39">
        <v>3175872</v>
      </c>
      <c r="V101" s="39">
        <v>0</v>
      </c>
      <c r="W101" s="39">
        <v>0</v>
      </c>
      <c r="X101" s="39">
        <v>0</v>
      </c>
      <c r="Y101" s="39">
        <v>0</v>
      </c>
      <c r="Z101" s="13"/>
    </row>
    <row r="102" spans="1:26" ht="12.75">
      <c r="A102" s="49">
        <f t="shared" si="7"/>
        <v>88</v>
      </c>
      <c r="B102" s="13" t="s">
        <v>250</v>
      </c>
      <c r="C102" s="13">
        <f>SUM(O102:S102)</f>
        <v>-201014.75</v>
      </c>
      <c r="D102" s="13">
        <f>SUM(U102:Y102)</f>
        <v>-201014.75</v>
      </c>
      <c r="E102" s="13"/>
      <c r="F102" s="13"/>
      <c r="G102" s="13">
        <f>ROUND(SUM(C102:F102)/2,0)</f>
        <v>-201015</v>
      </c>
      <c r="H102" s="13"/>
      <c r="I102" s="13">
        <f t="shared" si="6"/>
        <v>-201014.75</v>
      </c>
      <c r="J102" s="13">
        <f t="shared" si="6"/>
        <v>0</v>
      </c>
      <c r="K102" s="13">
        <f t="shared" si="6"/>
        <v>0</v>
      </c>
      <c r="L102" s="13">
        <f t="shared" si="6"/>
        <v>0</v>
      </c>
      <c r="M102" s="13">
        <f t="shared" si="6"/>
        <v>0</v>
      </c>
      <c r="N102" s="13"/>
      <c r="O102" s="14">
        <v>-201014.75</v>
      </c>
      <c r="P102" s="14">
        <v>0</v>
      </c>
      <c r="Q102" s="14">
        <v>0</v>
      </c>
      <c r="R102" s="14">
        <v>0</v>
      </c>
      <c r="S102" s="39">
        <v>0</v>
      </c>
      <c r="T102" s="13"/>
      <c r="U102" s="39">
        <f>-376080.75+175066</f>
        <v>-201014.75</v>
      </c>
      <c r="V102" s="39">
        <v>0</v>
      </c>
      <c r="W102" s="39">
        <v>0</v>
      </c>
      <c r="X102" s="39">
        <v>0</v>
      </c>
      <c r="Y102" s="39">
        <v>0</v>
      </c>
      <c r="Z102" s="13"/>
    </row>
    <row r="103" spans="1:26" ht="12.75">
      <c r="A103" s="49">
        <f t="shared" si="7"/>
        <v>89</v>
      </c>
      <c r="B103" s="13" t="s">
        <v>251</v>
      </c>
      <c r="C103" s="13">
        <f>SUM(O103:S103)</f>
        <v>0</v>
      </c>
      <c r="D103" s="13">
        <f>SUM(U103:Y103)</f>
        <v>0</v>
      </c>
      <c r="E103" s="13"/>
      <c r="F103" s="13"/>
      <c r="G103" s="13">
        <f>ROUND(SUM(C103:F103)/2,0)</f>
        <v>0</v>
      </c>
      <c r="H103" s="13"/>
      <c r="I103" s="13">
        <f t="shared" si="6"/>
        <v>0</v>
      </c>
      <c r="J103" s="13">
        <f t="shared" si="6"/>
        <v>0</v>
      </c>
      <c r="K103" s="13">
        <f t="shared" si="6"/>
        <v>0</v>
      </c>
      <c r="L103" s="13">
        <f t="shared" si="6"/>
        <v>0</v>
      </c>
      <c r="M103" s="13">
        <f t="shared" si="6"/>
        <v>0</v>
      </c>
      <c r="N103" s="13"/>
      <c r="O103" s="14">
        <v>0</v>
      </c>
      <c r="P103" s="14">
        <v>0</v>
      </c>
      <c r="Q103" s="14">
        <v>0</v>
      </c>
      <c r="R103" s="14">
        <v>0</v>
      </c>
      <c r="S103" s="39">
        <v>0</v>
      </c>
      <c r="T103" s="13"/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13"/>
    </row>
    <row r="104" spans="1:26" ht="12.75">
      <c r="A104" s="49">
        <f t="shared" si="7"/>
        <v>90</v>
      </c>
      <c r="B104" s="13" t="s">
        <v>252</v>
      </c>
      <c r="C104" s="13">
        <f>SUM(O104:S104)</f>
        <v>880778.8099999999</v>
      </c>
      <c r="D104" s="13">
        <f>SUM(U104:Y104)</f>
        <v>880778.8099999999</v>
      </c>
      <c r="E104" s="13"/>
      <c r="F104" s="13"/>
      <c r="G104" s="13">
        <f>ROUND(SUM(C104:F104)/2,0)</f>
        <v>880779</v>
      </c>
      <c r="H104" s="13"/>
      <c r="I104" s="13">
        <f t="shared" si="6"/>
        <v>-0.11000000000058208</v>
      </c>
      <c r="J104" s="13">
        <f t="shared" si="6"/>
        <v>24329.690000000002</v>
      </c>
      <c r="K104" s="13">
        <f t="shared" si="6"/>
        <v>-0.11000000000058208</v>
      </c>
      <c r="L104" s="13">
        <f t="shared" si="6"/>
        <v>856449.34</v>
      </c>
      <c r="M104" s="13">
        <f t="shared" si="6"/>
        <v>0</v>
      </c>
      <c r="N104" s="13"/>
      <c r="O104" s="14">
        <v>-0.11000000000058208</v>
      </c>
      <c r="P104" s="14">
        <v>24329.690000000002</v>
      </c>
      <c r="Q104" s="14">
        <v>-0.11000000000058208</v>
      </c>
      <c r="R104" s="14">
        <v>856449.34</v>
      </c>
      <c r="S104" s="39">
        <v>0</v>
      </c>
      <c r="T104" s="13"/>
      <c r="U104" s="39">
        <f>-92607.11+92607</f>
        <v>-0.11000000000058208</v>
      </c>
      <c r="V104" s="39">
        <f>-160535.31+184865</f>
        <v>24329.690000000002</v>
      </c>
      <c r="W104" s="39">
        <f>-92607.11+92607</f>
        <v>-0.11000000000058208</v>
      </c>
      <c r="X104" s="39">
        <f>700201.34+156248</f>
        <v>856449.34</v>
      </c>
      <c r="Y104" s="39">
        <v>0</v>
      </c>
      <c r="Z104" s="13"/>
    </row>
    <row r="105" spans="1:26" ht="12.75">
      <c r="A105" s="49">
        <f t="shared" si="7"/>
        <v>91</v>
      </c>
      <c r="B105" s="13" t="s">
        <v>253</v>
      </c>
      <c r="C105" s="13">
        <f>SUM(O105:S105)</f>
        <v>-55599.25000000001</v>
      </c>
      <c r="D105" s="13">
        <f>SUM(U105:Y105)</f>
        <v>-55599.25000000001</v>
      </c>
      <c r="E105" s="13"/>
      <c r="F105" s="13"/>
      <c r="G105" s="13">
        <f>ROUND(SUM(C105:F105)/2,0)</f>
        <v>-55599</v>
      </c>
      <c r="H105" s="13"/>
      <c r="I105" s="13">
        <f t="shared" si="6"/>
        <v>52.85</v>
      </c>
      <c r="J105" s="13">
        <f t="shared" si="6"/>
        <v>-55808.55</v>
      </c>
      <c r="K105" s="13">
        <f t="shared" si="6"/>
        <v>12.95</v>
      </c>
      <c r="L105" s="13">
        <f t="shared" si="6"/>
        <v>143.5</v>
      </c>
      <c r="M105" s="13">
        <f t="shared" si="6"/>
        <v>0</v>
      </c>
      <c r="N105" s="13"/>
      <c r="O105" s="14">
        <v>52.85</v>
      </c>
      <c r="P105" s="14">
        <v>-55808.55</v>
      </c>
      <c r="Q105" s="14">
        <v>12.95</v>
      </c>
      <c r="R105" s="14">
        <v>143.5</v>
      </c>
      <c r="S105" s="39">
        <v>0</v>
      </c>
      <c r="T105" s="13"/>
      <c r="U105" s="39">
        <v>52.85</v>
      </c>
      <c r="V105" s="39">
        <v>-55808.55</v>
      </c>
      <c r="W105" s="39">
        <v>12.95</v>
      </c>
      <c r="X105" s="39">
        <v>143.5</v>
      </c>
      <c r="Y105" s="39">
        <v>0</v>
      </c>
      <c r="Z105" s="13"/>
    </row>
    <row r="106" spans="1:26" ht="12.75">
      <c r="A106" s="49">
        <f t="shared" si="7"/>
        <v>92</v>
      </c>
      <c r="B106" s="13" t="s">
        <v>446</v>
      </c>
      <c r="C106" s="13">
        <f t="shared" si="8"/>
        <v>4725000</v>
      </c>
      <c r="D106" s="13">
        <f t="shared" si="9"/>
        <v>7873889.9</v>
      </c>
      <c r="E106" s="13"/>
      <c r="F106" s="13"/>
      <c r="G106" s="13">
        <f t="shared" si="5"/>
        <v>6299445</v>
      </c>
      <c r="H106" s="13"/>
      <c r="I106" s="13">
        <f t="shared" si="6"/>
        <v>4725000</v>
      </c>
      <c r="J106" s="13">
        <f t="shared" si="6"/>
        <v>1574444.95</v>
      </c>
      <c r="K106" s="13">
        <f t="shared" si="6"/>
        <v>0</v>
      </c>
      <c r="L106" s="13">
        <f t="shared" si="6"/>
        <v>0</v>
      </c>
      <c r="M106" s="13">
        <f t="shared" si="6"/>
        <v>0</v>
      </c>
      <c r="N106" s="13"/>
      <c r="O106" s="14">
        <v>4725000</v>
      </c>
      <c r="P106" s="14">
        <v>0</v>
      </c>
      <c r="Q106" s="14">
        <v>0</v>
      </c>
      <c r="R106" s="14">
        <v>0</v>
      </c>
      <c r="S106" s="39">
        <v>0</v>
      </c>
      <c r="T106" s="13"/>
      <c r="U106" s="39">
        <v>4725000</v>
      </c>
      <c r="V106" s="39">
        <v>3148889.9</v>
      </c>
      <c r="W106" s="39">
        <v>0</v>
      </c>
      <c r="X106" s="39">
        <v>0</v>
      </c>
      <c r="Y106" s="39">
        <v>0</v>
      </c>
      <c r="Z106" s="13"/>
    </row>
    <row r="107" spans="1:26" ht="12.75">
      <c r="A107" s="49">
        <f t="shared" si="7"/>
        <v>93</v>
      </c>
      <c r="B107" s="13" t="s">
        <v>447</v>
      </c>
      <c r="C107" s="13">
        <f t="shared" si="8"/>
        <v>0</v>
      </c>
      <c r="D107" s="13">
        <f t="shared" si="9"/>
        <v>0.35</v>
      </c>
      <c r="E107" s="13"/>
      <c r="F107" s="13"/>
      <c r="G107" s="13">
        <f t="shared" si="5"/>
        <v>0</v>
      </c>
      <c r="H107" s="13"/>
      <c r="I107" s="13">
        <f t="shared" si="6"/>
        <v>0</v>
      </c>
      <c r="J107" s="13">
        <f t="shared" si="6"/>
        <v>0</v>
      </c>
      <c r="K107" s="13">
        <f t="shared" si="6"/>
        <v>0</v>
      </c>
      <c r="L107" s="13">
        <f t="shared" si="6"/>
        <v>0.175</v>
      </c>
      <c r="M107" s="13">
        <f t="shared" si="6"/>
        <v>0</v>
      </c>
      <c r="N107" s="13"/>
      <c r="O107" s="14">
        <v>0</v>
      </c>
      <c r="P107" s="14">
        <v>0</v>
      </c>
      <c r="Q107" s="14">
        <v>0</v>
      </c>
      <c r="R107" s="14">
        <v>0</v>
      </c>
      <c r="S107" s="39">
        <v>0</v>
      </c>
      <c r="T107" s="13"/>
      <c r="U107" s="39">
        <v>0</v>
      </c>
      <c r="V107" s="39">
        <v>0</v>
      </c>
      <c r="W107" s="39">
        <v>0</v>
      </c>
      <c r="X107" s="39">
        <v>0.35</v>
      </c>
      <c r="Y107" s="39">
        <v>0</v>
      </c>
      <c r="Z107" s="13"/>
    </row>
    <row r="108" spans="1:26" ht="12.75">
      <c r="A108" s="49">
        <f t="shared" si="7"/>
        <v>94</v>
      </c>
      <c r="B108" s="13" t="s">
        <v>448</v>
      </c>
      <c r="C108" s="13">
        <f t="shared" si="8"/>
        <v>0</v>
      </c>
      <c r="D108" s="13">
        <f t="shared" si="9"/>
        <v>0.05</v>
      </c>
      <c r="E108" s="13"/>
      <c r="F108" s="13"/>
      <c r="G108" s="13">
        <f t="shared" si="5"/>
        <v>0</v>
      </c>
      <c r="H108" s="13"/>
      <c r="I108" s="13">
        <f t="shared" si="6"/>
        <v>0</v>
      </c>
      <c r="J108" s="13">
        <f t="shared" si="6"/>
        <v>0</v>
      </c>
      <c r="K108" s="13">
        <f t="shared" si="6"/>
        <v>0</v>
      </c>
      <c r="L108" s="13">
        <f t="shared" si="6"/>
        <v>0.025</v>
      </c>
      <c r="M108" s="13">
        <f t="shared" si="6"/>
        <v>0</v>
      </c>
      <c r="N108" s="13"/>
      <c r="O108" s="14">
        <v>0</v>
      </c>
      <c r="P108" s="14">
        <v>0</v>
      </c>
      <c r="Q108" s="14">
        <v>0</v>
      </c>
      <c r="R108" s="14">
        <v>0</v>
      </c>
      <c r="S108" s="39">
        <v>0</v>
      </c>
      <c r="T108" s="13"/>
      <c r="U108" s="39">
        <v>0</v>
      </c>
      <c r="V108" s="39">
        <v>0</v>
      </c>
      <c r="W108" s="39">
        <v>0</v>
      </c>
      <c r="X108" s="39">
        <v>0.05</v>
      </c>
      <c r="Y108" s="39">
        <v>0</v>
      </c>
      <c r="Z108" s="13"/>
    </row>
    <row r="109" spans="1:26" ht="12.75">
      <c r="A109" s="49">
        <f t="shared" si="7"/>
        <v>95</v>
      </c>
      <c r="B109" s="13" t="s">
        <v>255</v>
      </c>
      <c r="C109" s="13">
        <f t="shared" si="8"/>
        <v>0</v>
      </c>
      <c r="D109" s="13">
        <f t="shared" si="9"/>
        <v>0.05</v>
      </c>
      <c r="E109" s="13"/>
      <c r="F109" s="13"/>
      <c r="G109" s="13">
        <f t="shared" si="5"/>
        <v>0</v>
      </c>
      <c r="H109" s="13"/>
      <c r="I109" s="13">
        <f t="shared" si="6"/>
        <v>0</v>
      </c>
      <c r="J109" s="13">
        <f t="shared" si="6"/>
        <v>0</v>
      </c>
      <c r="K109" s="13">
        <f t="shared" si="6"/>
        <v>0</v>
      </c>
      <c r="L109" s="13">
        <f t="shared" si="6"/>
        <v>0.025</v>
      </c>
      <c r="M109" s="13">
        <f t="shared" si="6"/>
        <v>0</v>
      </c>
      <c r="N109" s="13"/>
      <c r="O109" s="14">
        <v>0</v>
      </c>
      <c r="P109" s="14">
        <v>0</v>
      </c>
      <c r="Q109" s="14">
        <v>0</v>
      </c>
      <c r="R109" s="14">
        <v>0</v>
      </c>
      <c r="S109" s="39">
        <v>0</v>
      </c>
      <c r="T109" s="13"/>
      <c r="U109" s="39">
        <v>0</v>
      </c>
      <c r="V109" s="39">
        <v>0</v>
      </c>
      <c r="W109" s="39">
        <v>0</v>
      </c>
      <c r="X109" s="39">
        <v>0.05</v>
      </c>
      <c r="Y109" s="39">
        <v>0</v>
      </c>
      <c r="Z109" s="13"/>
    </row>
    <row r="110" spans="1:26" ht="12.75">
      <c r="A110" s="49">
        <f t="shared" si="7"/>
        <v>96</v>
      </c>
      <c r="B110" s="13" t="s">
        <v>449</v>
      </c>
      <c r="C110" s="13">
        <f t="shared" si="8"/>
        <v>0</v>
      </c>
      <c r="D110" s="13">
        <f t="shared" si="9"/>
        <v>0.4</v>
      </c>
      <c r="E110" s="13"/>
      <c r="F110" s="13"/>
      <c r="G110" s="13">
        <f t="shared" si="5"/>
        <v>0</v>
      </c>
      <c r="H110" s="13"/>
      <c r="I110" s="13">
        <f t="shared" si="6"/>
        <v>0</v>
      </c>
      <c r="J110" s="13">
        <f t="shared" si="6"/>
        <v>0</v>
      </c>
      <c r="K110" s="13">
        <f t="shared" si="6"/>
        <v>0</v>
      </c>
      <c r="L110" s="13">
        <f t="shared" si="6"/>
        <v>0.2</v>
      </c>
      <c r="M110" s="13">
        <f t="shared" si="6"/>
        <v>0</v>
      </c>
      <c r="N110" s="13"/>
      <c r="O110" s="14">
        <v>0</v>
      </c>
      <c r="P110" s="14">
        <v>0</v>
      </c>
      <c r="Q110" s="14">
        <v>0</v>
      </c>
      <c r="R110" s="14">
        <v>0</v>
      </c>
      <c r="S110" s="39">
        <v>0</v>
      </c>
      <c r="T110" s="13"/>
      <c r="U110" s="39">
        <v>0</v>
      </c>
      <c r="V110" s="39">
        <v>0</v>
      </c>
      <c r="W110" s="39">
        <v>0</v>
      </c>
      <c r="X110" s="39">
        <v>0.4</v>
      </c>
      <c r="Y110" s="39">
        <v>0</v>
      </c>
      <c r="Z110" s="13"/>
    </row>
    <row r="111" spans="1:26" ht="12.75">
      <c r="A111" s="49">
        <f t="shared" si="7"/>
        <v>97</v>
      </c>
      <c r="B111" s="13" t="s">
        <v>256</v>
      </c>
      <c r="C111" s="13">
        <f>SUM(O111:S111)</f>
        <v>-407875.23</v>
      </c>
      <c r="D111" s="13">
        <f>SUM(U111:Y111)</f>
        <v>-407875.23</v>
      </c>
      <c r="E111" s="13"/>
      <c r="F111" s="13"/>
      <c r="G111" s="13">
        <f>ROUND(SUM(C111:F111)/2,0)</f>
        <v>-407875</v>
      </c>
      <c r="H111" s="13"/>
      <c r="I111" s="13">
        <f t="shared" si="6"/>
        <v>0</v>
      </c>
      <c r="J111" s="13">
        <f t="shared" si="6"/>
        <v>0</v>
      </c>
      <c r="K111" s="13">
        <f t="shared" si="6"/>
        <v>0</v>
      </c>
      <c r="L111" s="13">
        <f t="shared" si="6"/>
        <v>-407875.23</v>
      </c>
      <c r="M111" s="13">
        <f t="shared" si="6"/>
        <v>0</v>
      </c>
      <c r="N111" s="13"/>
      <c r="O111" s="14">
        <v>0</v>
      </c>
      <c r="P111" s="14">
        <v>0</v>
      </c>
      <c r="Q111" s="14">
        <v>0</v>
      </c>
      <c r="R111" s="14">
        <v>-407875.23</v>
      </c>
      <c r="S111" s="39">
        <v>0</v>
      </c>
      <c r="T111" s="13"/>
      <c r="U111" s="39">
        <v>0</v>
      </c>
      <c r="V111" s="39">
        <v>0</v>
      </c>
      <c r="W111" s="39">
        <v>0</v>
      </c>
      <c r="X111" s="39">
        <v>-407875.23</v>
      </c>
      <c r="Y111" s="39">
        <v>0</v>
      </c>
      <c r="Z111" s="13"/>
    </row>
    <row r="112" spans="1:26" ht="12.75">
      <c r="A112" s="49">
        <f t="shared" si="7"/>
        <v>98</v>
      </c>
      <c r="B112" s="13" t="s">
        <v>450</v>
      </c>
      <c r="C112" s="13">
        <f t="shared" si="8"/>
        <v>0</v>
      </c>
      <c r="D112" s="13">
        <f t="shared" si="9"/>
        <v>0.05</v>
      </c>
      <c r="E112" s="13"/>
      <c r="F112" s="13"/>
      <c r="G112" s="13">
        <f t="shared" si="5"/>
        <v>0</v>
      </c>
      <c r="H112" s="13"/>
      <c r="I112" s="13">
        <f t="shared" si="6"/>
        <v>0</v>
      </c>
      <c r="J112" s="13">
        <f t="shared" si="6"/>
        <v>0</v>
      </c>
      <c r="K112" s="13">
        <f t="shared" si="6"/>
        <v>0</v>
      </c>
      <c r="L112" s="13">
        <f t="shared" si="6"/>
        <v>0.025</v>
      </c>
      <c r="M112" s="13">
        <f t="shared" si="6"/>
        <v>0</v>
      </c>
      <c r="N112" s="13"/>
      <c r="O112" s="14">
        <v>0</v>
      </c>
      <c r="P112" s="14">
        <v>0</v>
      </c>
      <c r="Q112" s="14">
        <v>0</v>
      </c>
      <c r="R112" s="14">
        <v>0</v>
      </c>
      <c r="S112" s="39">
        <v>0</v>
      </c>
      <c r="T112" s="13"/>
      <c r="U112" s="39">
        <v>0</v>
      </c>
      <c r="V112" s="39">
        <v>0</v>
      </c>
      <c r="W112" s="39">
        <v>0</v>
      </c>
      <c r="X112" s="39">
        <v>0.05</v>
      </c>
      <c r="Y112" s="39">
        <v>0</v>
      </c>
      <c r="Z112" s="13"/>
    </row>
    <row r="113" spans="1:26" ht="12.75">
      <c r="A113" s="49">
        <f t="shared" si="7"/>
        <v>99</v>
      </c>
      <c r="B113" s="13" t="s">
        <v>257</v>
      </c>
      <c r="C113" s="13">
        <f>SUM(O113:S113)</f>
        <v>2981517.7</v>
      </c>
      <c r="D113" s="13">
        <f>SUM(U113:Y113)</f>
        <v>3422651.75</v>
      </c>
      <c r="E113" s="13"/>
      <c r="F113" s="13"/>
      <c r="G113" s="13">
        <f>ROUND(SUM(C113:F113)/2,0)</f>
        <v>3202085</v>
      </c>
      <c r="H113" s="13"/>
      <c r="I113" s="13">
        <f t="shared" si="6"/>
        <v>0</v>
      </c>
      <c r="J113" s="13">
        <f t="shared" si="6"/>
        <v>0</v>
      </c>
      <c r="K113" s="13">
        <f t="shared" si="6"/>
        <v>0</v>
      </c>
      <c r="L113" s="13">
        <f t="shared" si="6"/>
        <v>3202084.725</v>
      </c>
      <c r="M113" s="13">
        <f t="shared" si="6"/>
        <v>0</v>
      </c>
      <c r="N113" s="13"/>
      <c r="O113" s="14">
        <v>0</v>
      </c>
      <c r="P113" s="14">
        <v>0</v>
      </c>
      <c r="Q113" s="14">
        <v>0</v>
      </c>
      <c r="R113" s="14">
        <v>2981517.7</v>
      </c>
      <c r="S113" s="39">
        <v>0</v>
      </c>
      <c r="T113" s="13"/>
      <c r="U113" s="39">
        <v>0</v>
      </c>
      <c r="V113" s="39">
        <v>0</v>
      </c>
      <c r="W113" s="39">
        <v>0</v>
      </c>
      <c r="X113" s="39">
        <v>3422651.75</v>
      </c>
      <c r="Y113" s="39">
        <v>0</v>
      </c>
      <c r="Z113" s="13"/>
    </row>
    <row r="114" spans="1:26" ht="12.75">
      <c r="A114" s="49">
        <f t="shared" si="7"/>
        <v>100</v>
      </c>
      <c r="B114" s="13" t="s">
        <v>259</v>
      </c>
      <c r="C114" s="13">
        <f>SUM(O114:S114)</f>
        <v>-11888374.590000002</v>
      </c>
      <c r="D114" s="13">
        <f>SUM(U114:Y114)</f>
        <v>-10877401.9</v>
      </c>
      <c r="E114" s="13"/>
      <c r="F114" s="13"/>
      <c r="G114" s="13">
        <f>ROUND(SUM(C114:F114)/2,0)</f>
        <v>-11382888</v>
      </c>
      <c r="H114" s="13"/>
      <c r="I114" s="13">
        <f t="shared" si="6"/>
        <v>-2301842.02</v>
      </c>
      <c r="J114" s="13">
        <f t="shared" si="6"/>
        <v>-8867310.155000001</v>
      </c>
      <c r="K114" s="13">
        <f t="shared" si="6"/>
        <v>-117525.1</v>
      </c>
      <c r="L114" s="13">
        <f t="shared" si="6"/>
        <v>-96210.97</v>
      </c>
      <c r="M114" s="13">
        <f t="shared" si="6"/>
        <v>0</v>
      </c>
      <c r="N114" s="13"/>
      <c r="O114" s="14">
        <v>-2626275.22</v>
      </c>
      <c r="P114" s="14">
        <v>-9054023.55</v>
      </c>
      <c r="Q114" s="14">
        <v>-122864.82</v>
      </c>
      <c r="R114" s="14">
        <v>-85211</v>
      </c>
      <c r="S114" s="39">
        <v>0</v>
      </c>
      <c r="T114" s="13"/>
      <c r="U114" s="39">
        <v>-1977408.82</v>
      </c>
      <c r="V114" s="39">
        <v>-8680596.76</v>
      </c>
      <c r="W114" s="39">
        <v>-112185.38</v>
      </c>
      <c r="X114" s="39">
        <v>-107210.94</v>
      </c>
      <c r="Y114" s="39">
        <v>0</v>
      </c>
      <c r="Z114" s="13"/>
    </row>
    <row r="115" spans="1:26" ht="12.75">
      <c r="A115" s="49">
        <f t="shared" si="7"/>
        <v>101</v>
      </c>
      <c r="B115" s="13" t="s">
        <v>260</v>
      </c>
      <c r="C115" s="13">
        <f>SUM(O115:S115)</f>
        <v>539317</v>
      </c>
      <c r="D115" s="13">
        <f>SUM(U115:Y115)</f>
        <v>539317</v>
      </c>
      <c r="E115" s="13"/>
      <c r="F115" s="13"/>
      <c r="G115" s="13">
        <f>ROUND(SUM(C115:F115)/2,0)</f>
        <v>539317</v>
      </c>
      <c r="H115" s="13"/>
      <c r="I115" s="13">
        <f t="shared" si="6"/>
        <v>0</v>
      </c>
      <c r="J115" s="13">
        <f t="shared" si="6"/>
        <v>479963</v>
      </c>
      <c r="K115" s="13">
        <f t="shared" si="6"/>
        <v>0</v>
      </c>
      <c r="L115" s="13">
        <f t="shared" si="6"/>
        <v>59354</v>
      </c>
      <c r="M115" s="13">
        <f t="shared" si="6"/>
        <v>0</v>
      </c>
      <c r="N115" s="13"/>
      <c r="O115" s="14">
        <v>0</v>
      </c>
      <c r="P115" s="14">
        <v>479963</v>
      </c>
      <c r="Q115" s="14">
        <v>0</v>
      </c>
      <c r="R115" s="14">
        <v>59354</v>
      </c>
      <c r="S115" s="39">
        <v>0</v>
      </c>
      <c r="T115" s="13"/>
      <c r="U115" s="39">
        <v>0</v>
      </c>
      <c r="V115" s="39">
        <v>479963</v>
      </c>
      <c r="W115" s="39">
        <v>0</v>
      </c>
      <c r="X115" s="39">
        <v>59354</v>
      </c>
      <c r="Y115" s="39">
        <v>0</v>
      </c>
      <c r="Z115" s="13"/>
    </row>
    <row r="116" spans="1:26" ht="12.75">
      <c r="A116" s="49">
        <f t="shared" si="7"/>
        <v>102</v>
      </c>
      <c r="B116" s="13" t="s">
        <v>451</v>
      </c>
      <c r="C116" s="13">
        <f t="shared" si="8"/>
        <v>0</v>
      </c>
      <c r="D116" s="13">
        <f t="shared" si="9"/>
        <v>-0.1</v>
      </c>
      <c r="E116" s="13"/>
      <c r="F116" s="13"/>
      <c r="G116" s="13">
        <f t="shared" si="5"/>
        <v>0</v>
      </c>
      <c r="H116" s="13"/>
      <c r="I116" s="13">
        <f t="shared" si="6"/>
        <v>0</v>
      </c>
      <c r="J116" s="13">
        <f t="shared" si="6"/>
        <v>0</v>
      </c>
      <c r="K116" s="13">
        <f t="shared" si="6"/>
        <v>0</v>
      </c>
      <c r="L116" s="13">
        <f t="shared" si="6"/>
        <v>-0.05</v>
      </c>
      <c r="M116" s="13">
        <f t="shared" si="6"/>
        <v>0</v>
      </c>
      <c r="N116" s="13"/>
      <c r="O116" s="14">
        <v>0</v>
      </c>
      <c r="P116" s="14">
        <v>0</v>
      </c>
      <c r="Q116" s="14">
        <v>0</v>
      </c>
      <c r="R116" s="14">
        <v>0</v>
      </c>
      <c r="S116" s="39">
        <v>0</v>
      </c>
      <c r="T116" s="13"/>
      <c r="U116" s="39">
        <v>0</v>
      </c>
      <c r="V116" s="39">
        <v>0</v>
      </c>
      <c r="W116" s="39">
        <v>0</v>
      </c>
      <c r="X116" s="39">
        <v>-0.1</v>
      </c>
      <c r="Y116" s="39">
        <v>0</v>
      </c>
      <c r="Z116" s="13"/>
    </row>
    <row r="117" spans="1:26" ht="12.75">
      <c r="A117" s="49">
        <f t="shared" si="7"/>
        <v>103</v>
      </c>
      <c r="B117" s="13" t="s">
        <v>452</v>
      </c>
      <c r="C117" s="13">
        <f>SUM(O117:S117)</f>
        <v>0</v>
      </c>
      <c r="D117" s="13">
        <f>SUM(U117:Y117)</f>
        <v>0</v>
      </c>
      <c r="E117" s="13"/>
      <c r="F117" s="13"/>
      <c r="G117" s="13">
        <f>ROUND(SUM(C117:F117)/2,0)</f>
        <v>0</v>
      </c>
      <c r="H117" s="13"/>
      <c r="I117" s="13">
        <f t="shared" si="6"/>
        <v>0</v>
      </c>
      <c r="J117" s="13">
        <f t="shared" si="6"/>
        <v>0</v>
      </c>
      <c r="K117" s="13">
        <f t="shared" si="6"/>
        <v>0</v>
      </c>
      <c r="L117" s="13">
        <f t="shared" si="6"/>
        <v>0</v>
      </c>
      <c r="M117" s="13">
        <f t="shared" si="6"/>
        <v>0</v>
      </c>
      <c r="N117" s="13"/>
      <c r="O117" s="14">
        <v>0</v>
      </c>
      <c r="P117" s="14">
        <v>0</v>
      </c>
      <c r="Q117" s="14">
        <v>0</v>
      </c>
      <c r="R117" s="14">
        <v>0</v>
      </c>
      <c r="S117" s="39">
        <v>0</v>
      </c>
      <c r="T117" s="13"/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13"/>
    </row>
    <row r="118" spans="1:26" ht="12.75">
      <c r="A118" s="49">
        <f t="shared" si="7"/>
        <v>104</v>
      </c>
      <c r="B118" s="13" t="s">
        <v>249</v>
      </c>
      <c r="C118" s="13">
        <f>SUM(O118:S118)</f>
        <v>-19494.300000000003</v>
      </c>
      <c r="D118" s="13">
        <f>SUM(U118:Y118)</f>
        <v>-19925.850000000002</v>
      </c>
      <c r="E118" s="13"/>
      <c r="F118" s="13"/>
      <c r="G118" s="13">
        <f>ROUND(SUM(C118:F118)/2,0)</f>
        <v>-19710</v>
      </c>
      <c r="H118" s="13"/>
      <c r="I118" s="13">
        <f t="shared" si="6"/>
        <v>-25.375</v>
      </c>
      <c r="J118" s="13">
        <f t="shared" si="6"/>
        <v>-19581.275</v>
      </c>
      <c r="K118" s="13">
        <f t="shared" si="6"/>
        <v>-8.575</v>
      </c>
      <c r="L118" s="13">
        <f t="shared" si="6"/>
        <v>-94.85</v>
      </c>
      <c r="M118" s="13">
        <f t="shared" si="6"/>
        <v>0</v>
      </c>
      <c r="N118" s="13"/>
      <c r="O118" s="14">
        <v>-25.2</v>
      </c>
      <c r="P118" s="14">
        <v>-19366.9</v>
      </c>
      <c r="Q118" s="14">
        <v>-8.4</v>
      </c>
      <c r="R118" s="14">
        <v>-93.8</v>
      </c>
      <c r="S118" s="39">
        <v>0</v>
      </c>
      <c r="T118" s="13"/>
      <c r="U118" s="39">
        <v>-25.55</v>
      </c>
      <c r="V118" s="39">
        <v>-19795.65</v>
      </c>
      <c r="W118" s="39">
        <v>-8.75</v>
      </c>
      <c r="X118" s="39">
        <v>-95.9</v>
      </c>
      <c r="Y118" s="39">
        <v>0</v>
      </c>
      <c r="Z118" s="13"/>
    </row>
    <row r="119" spans="1:26" ht="12.75">
      <c r="A119" s="49">
        <f t="shared" si="7"/>
        <v>105</v>
      </c>
      <c r="B119" s="13" t="s">
        <v>16</v>
      </c>
      <c r="C119" s="51">
        <v>3480551.84</v>
      </c>
      <c r="D119" s="51">
        <v>7189721.06</v>
      </c>
      <c r="E119" s="13">
        <f>-C119</f>
        <v>-3480551.84</v>
      </c>
      <c r="F119" s="13">
        <f aca="true" t="shared" si="10" ref="E119:F127">-D119</f>
        <v>-7189721.06</v>
      </c>
      <c r="G119" s="13">
        <f t="shared" si="5"/>
        <v>0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>
      <c r="A120" s="49">
        <f t="shared" si="7"/>
        <v>106</v>
      </c>
      <c r="B120" s="13" t="s">
        <v>262</v>
      </c>
      <c r="C120" s="51">
        <v>59713597.1</v>
      </c>
      <c r="D120" s="51">
        <v>66109127.2</v>
      </c>
      <c r="E120" s="13">
        <f t="shared" si="10"/>
        <v>-59713597.1</v>
      </c>
      <c r="F120" s="13">
        <f t="shared" si="10"/>
        <v>-66109127.2</v>
      </c>
      <c r="G120" s="13">
        <f t="shared" si="5"/>
        <v>0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>
      <c r="A121" s="49">
        <f t="shared" si="7"/>
        <v>107</v>
      </c>
      <c r="B121" s="13" t="s">
        <v>263</v>
      </c>
      <c r="C121" s="51">
        <v>1229804.69</v>
      </c>
      <c r="D121" s="51">
        <v>1504489.86</v>
      </c>
      <c r="E121" s="13">
        <f t="shared" si="10"/>
        <v>-1229804.69</v>
      </c>
      <c r="F121" s="13">
        <f t="shared" si="10"/>
        <v>-1504489.86</v>
      </c>
      <c r="G121" s="13">
        <f t="shared" si="5"/>
        <v>0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>
      <c r="A122" s="49">
        <f t="shared" si="7"/>
        <v>108</v>
      </c>
      <c r="B122" s="13" t="s">
        <v>264</v>
      </c>
      <c r="C122" s="51">
        <v>0</v>
      </c>
      <c r="D122" s="51">
        <v>0</v>
      </c>
      <c r="E122" s="13">
        <f t="shared" si="10"/>
        <v>0</v>
      </c>
      <c r="F122" s="13">
        <f t="shared" si="10"/>
        <v>0</v>
      </c>
      <c r="G122" s="13">
        <f t="shared" si="5"/>
        <v>0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>
      <c r="A123" s="49">
        <f t="shared" si="7"/>
        <v>109</v>
      </c>
      <c r="B123" s="13" t="s">
        <v>265</v>
      </c>
      <c r="C123" s="51">
        <v>-319.55</v>
      </c>
      <c r="D123" s="51">
        <v>-320</v>
      </c>
      <c r="E123" s="13">
        <f t="shared" si="10"/>
        <v>319.55</v>
      </c>
      <c r="F123" s="13">
        <f t="shared" si="10"/>
        <v>320</v>
      </c>
      <c r="G123" s="13">
        <f t="shared" si="5"/>
        <v>0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>
      <c r="A124" s="49">
        <f t="shared" si="7"/>
        <v>110</v>
      </c>
      <c r="B124" s="13" t="s">
        <v>453</v>
      </c>
      <c r="C124" s="51">
        <v>1739371.9</v>
      </c>
      <c r="D124" s="51">
        <v>1380875.65</v>
      </c>
      <c r="E124" s="13">
        <f>-C124</f>
        <v>-1739371.9</v>
      </c>
      <c r="F124" s="13">
        <f>-D124</f>
        <v>-1380875.65</v>
      </c>
      <c r="G124" s="13">
        <f>ROUND(SUM(C124:F124)/2,0)</f>
        <v>0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>
      <c r="A125" s="49">
        <f t="shared" si="7"/>
        <v>111</v>
      </c>
      <c r="B125" s="13" t="s">
        <v>454</v>
      </c>
      <c r="C125" s="51">
        <v>103082.46</v>
      </c>
      <c r="D125" s="51">
        <v>-761655.23</v>
      </c>
      <c r="E125" s="13">
        <f>-C125</f>
        <v>-103082.46</v>
      </c>
      <c r="F125" s="13">
        <f>-D125</f>
        <v>761655.23</v>
      </c>
      <c r="G125" s="13">
        <f>ROUND(SUM(C125:F125)/2,0)</f>
        <v>0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>
      <c r="A126" s="49">
        <f t="shared" si="7"/>
        <v>112</v>
      </c>
      <c r="B126" s="13" t="s">
        <v>455</v>
      </c>
      <c r="C126" s="51">
        <v>7171299.12</v>
      </c>
      <c r="D126" s="51">
        <v>7881179.52</v>
      </c>
      <c r="E126" s="13">
        <f t="shared" si="10"/>
        <v>-7171299.12</v>
      </c>
      <c r="F126" s="13">
        <f t="shared" si="10"/>
        <v>-7881179.52</v>
      </c>
      <c r="G126" s="13">
        <f>ROUND(SUM(C126:F126)/2,0)</f>
        <v>0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>
      <c r="A127" s="49">
        <f t="shared" si="7"/>
        <v>113</v>
      </c>
      <c r="B127" s="13" t="s">
        <v>271</v>
      </c>
      <c r="C127" s="51">
        <v>-150652</v>
      </c>
      <c r="D127" s="51">
        <v>89530</v>
      </c>
      <c r="E127" s="13">
        <f t="shared" si="10"/>
        <v>150652</v>
      </c>
      <c r="F127" s="13">
        <f t="shared" si="10"/>
        <v>-89530</v>
      </c>
      <c r="G127" s="13">
        <f t="shared" si="5"/>
        <v>0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>
      <c r="A128" s="49">
        <f t="shared" si="7"/>
        <v>114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3.5" thickBot="1">
      <c r="A129" s="49">
        <f t="shared" si="7"/>
        <v>115</v>
      </c>
      <c r="B129" s="13" t="s">
        <v>273</v>
      </c>
      <c r="C129" s="52">
        <f>SUM(C17:C128)</f>
        <v>839414144.5200001</v>
      </c>
      <c r="D129" s="52">
        <f>SUM(D17:D128)</f>
        <v>913673271.1799997</v>
      </c>
      <c r="E129" s="52">
        <f>SUM(E17:E128)</f>
        <v>-73286735.56</v>
      </c>
      <c r="F129" s="52">
        <f>SUM(F17:F128)</f>
        <v>-83392948.06</v>
      </c>
      <c r="G129" s="52">
        <f>SUM(G17:G128)</f>
        <v>798203865</v>
      </c>
      <c r="H129" s="52"/>
      <c r="I129" s="52">
        <f>SUM(I17:I128)</f>
        <v>64227953.699999996</v>
      </c>
      <c r="J129" s="52">
        <f>SUM(J17:J128)</f>
        <v>703693503.0400003</v>
      </c>
      <c r="K129" s="52">
        <f>SUM(K17:K128)</f>
        <v>10782449.580000006</v>
      </c>
      <c r="L129" s="52">
        <f>SUM(L17:L128)</f>
        <v>19499959.720000006</v>
      </c>
      <c r="M129" s="52">
        <f>SUM(M17:M128)</f>
        <v>0</v>
      </c>
      <c r="N129" s="52"/>
      <c r="O129" s="52">
        <f>SUM(O17:O128)</f>
        <v>57497535.97</v>
      </c>
      <c r="P129" s="52">
        <f>SUM(P17:P128)</f>
        <v>677631351.1000003</v>
      </c>
      <c r="Q129" s="52">
        <f>SUM(Q17:Q128)</f>
        <v>11022416.25</v>
      </c>
      <c r="R129" s="52">
        <f>SUM(R17:R128)</f>
        <v>19976105.639999993</v>
      </c>
      <c r="S129" s="52">
        <f>SUM(S17:S128)</f>
        <v>0</v>
      </c>
      <c r="T129" s="13"/>
      <c r="U129" s="52">
        <f>SUM(U17:U128)</f>
        <v>70958371.43</v>
      </c>
      <c r="V129" s="52">
        <f>SUM(V17:V128)</f>
        <v>729755654.9800003</v>
      </c>
      <c r="W129" s="52">
        <f>SUM(W17:W128)</f>
        <v>10542482.909999996</v>
      </c>
      <c r="X129" s="52">
        <f>SUM(X17:X128)</f>
        <v>19023813.8</v>
      </c>
      <c r="Y129" s="52">
        <f>SUM(Y17:Y128)</f>
        <v>0</v>
      </c>
      <c r="Z129" s="13"/>
    </row>
    <row r="130" spans="1:26" ht="13.5" thickTop="1">
      <c r="A130" s="53"/>
      <c r="B130" s="13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3"/>
      <c r="U130" s="16"/>
      <c r="V130" s="16"/>
      <c r="W130" s="16"/>
      <c r="X130" s="16"/>
      <c r="Y130" s="16"/>
      <c r="Z130" s="13"/>
    </row>
    <row r="131" spans="1:26" ht="12.75">
      <c r="A131" s="5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>
      <c r="A132" s="53"/>
      <c r="B132" s="13"/>
      <c r="C132" s="13"/>
      <c r="D132" s="13" t="s">
        <v>101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>
      <c r="A133" s="5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>
      <c r="A134" s="5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>
      <c r="A135" s="5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>
      <c r="A136" s="5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>
      <c r="A137" s="5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>
      <c r="A138" s="5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</sheetData>
  <sheetProtection/>
  <printOptions/>
  <pageMargins left="0.75" right="0.25" top="0.5" bottom="0.25" header="0" footer="0"/>
  <pageSetup horizontalDpi="600" verticalDpi="600" orientation="portrait" scale="70" r:id="rId1"/>
  <headerFooter alignWithMargins="0">
    <oddHeader>&amp;RSTATEMENT AG-3
Page &amp;P of &amp;N</oddHeader>
  </headerFooter>
  <rowBreaks count="1" manualBreakCount="1">
    <brk id="77" min="2" max="24" man="1"/>
  </rowBreaks>
  <colBreaks count="3" manualBreakCount="3">
    <brk id="7" min="14" max="94" man="1"/>
    <brk id="13" min="14" max="94" man="1"/>
    <brk id="19" min="14" max="9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showOutlineSymbols="0" zoomScaleSheetLayoutView="7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4" sqref="B24"/>
    </sheetView>
  </sheetViews>
  <sheetFormatPr defaultColWidth="12.7109375" defaultRowHeight="12.75"/>
  <cols>
    <col min="1" max="1" width="4.7109375" style="2" customWidth="1"/>
    <col min="2" max="2" width="54.710937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26" t="s">
        <v>456</v>
      </c>
      <c r="G1" s="8"/>
      <c r="H1" s="8"/>
      <c r="I1" s="8"/>
      <c r="J1" s="8"/>
      <c r="K1" s="8"/>
      <c r="L1" s="8"/>
      <c r="S1" s="8"/>
    </row>
    <row r="2" spans="2:19" ht="12.75">
      <c r="B2" s="26" t="s">
        <v>180</v>
      </c>
      <c r="G2" s="8"/>
      <c r="H2" s="8"/>
      <c r="I2" s="8"/>
      <c r="J2" s="8"/>
      <c r="K2" s="8"/>
      <c r="L2" s="8"/>
      <c r="S2" s="8"/>
    </row>
    <row r="3" ht="12.75">
      <c r="B3" s="26" t="s">
        <v>179</v>
      </c>
    </row>
    <row r="4" spans="7:12" ht="12.75">
      <c r="G4" s="25" t="s">
        <v>178</v>
      </c>
      <c r="H4" s="25"/>
      <c r="I4" s="25"/>
      <c r="J4" s="25"/>
      <c r="K4" s="25"/>
      <c r="L4" s="25"/>
    </row>
    <row r="5" ht="12.75">
      <c r="B5" s="24"/>
    </row>
    <row r="6" ht="12.75"/>
    <row r="7" ht="12.75"/>
    <row r="8" spans="2:19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/>
      <c r="M8" s="18" t="s">
        <v>168</v>
      </c>
      <c r="N8" s="18" t="s">
        <v>167</v>
      </c>
      <c r="O8" s="18" t="s">
        <v>166</v>
      </c>
      <c r="Q8" s="18" t="s">
        <v>165</v>
      </c>
      <c r="R8" s="18" t="s">
        <v>164</v>
      </c>
      <c r="S8" s="18" t="s">
        <v>163</v>
      </c>
    </row>
    <row r="9" ht="12.75"/>
    <row r="10" spans="3:19" ht="12.75">
      <c r="C10" s="21" t="s">
        <v>162</v>
      </c>
      <c r="D10" s="21"/>
      <c r="E10" s="23" t="s">
        <v>161</v>
      </c>
      <c r="F10" s="21"/>
      <c r="G10" s="19" t="s">
        <v>160</v>
      </c>
      <c r="H10" s="19"/>
      <c r="I10" s="22" t="s">
        <v>159</v>
      </c>
      <c r="J10" s="21"/>
      <c r="K10" s="21"/>
      <c r="L10" s="19"/>
      <c r="M10" s="36" t="s">
        <v>158</v>
      </c>
      <c r="N10" s="21"/>
      <c r="O10" s="21"/>
      <c r="Q10" s="36" t="s">
        <v>157</v>
      </c>
      <c r="R10" s="21"/>
      <c r="S10" s="21"/>
    </row>
    <row r="11" spans="3:19" ht="12.75">
      <c r="C11" s="20"/>
      <c r="D11" s="20"/>
      <c r="G11" s="19" t="s">
        <v>156</v>
      </c>
      <c r="H11" s="19"/>
      <c r="I11" s="20"/>
      <c r="J11" s="20"/>
      <c r="K11" s="20"/>
      <c r="L11" s="19"/>
      <c r="M11" s="20"/>
      <c r="N11" s="20"/>
      <c r="O11" s="20"/>
      <c r="Q11" s="20"/>
      <c r="R11" s="20"/>
      <c r="S11" s="20"/>
    </row>
    <row r="12" spans="3:12" ht="12.75">
      <c r="C12" s="19" t="s">
        <v>155</v>
      </c>
      <c r="D12" s="19" t="s">
        <v>155</v>
      </c>
      <c r="E12" s="19" t="s">
        <v>155</v>
      </c>
      <c r="F12" s="19" t="s">
        <v>155</v>
      </c>
      <c r="G12" s="19" t="s">
        <v>154</v>
      </c>
      <c r="H12" s="19"/>
      <c r="L12" s="19"/>
    </row>
    <row r="13" spans="2:19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D13</f>
        <v>OF 12-31-14</v>
      </c>
      <c r="G13" s="18" t="s">
        <v>150</v>
      </c>
      <c r="H13" s="18"/>
      <c r="I13" s="18" t="s">
        <v>149</v>
      </c>
      <c r="J13" s="18" t="s">
        <v>148</v>
      </c>
      <c r="K13" s="18" t="s">
        <v>147</v>
      </c>
      <c r="L13" s="18"/>
      <c r="M13" s="18" t="s">
        <v>149</v>
      </c>
      <c r="N13" s="18" t="s">
        <v>148</v>
      </c>
      <c r="O13" s="18" t="s">
        <v>147</v>
      </c>
      <c r="Q13" s="18" t="s">
        <v>149</v>
      </c>
      <c r="R13" s="18" t="s">
        <v>148</v>
      </c>
      <c r="S13" s="18" t="s">
        <v>147</v>
      </c>
    </row>
    <row r="14" ht="12.75"/>
    <row r="15" spans="1:19" ht="12.75">
      <c r="A15" s="5">
        <v>1</v>
      </c>
      <c r="B15" s="7" t="s">
        <v>146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5">
        <f aca="true" t="shared" si="0" ref="A16:A79">A15+1</f>
        <v>2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5">
        <f t="shared" si="0"/>
        <v>3</v>
      </c>
      <c r="B17" s="7" t="s">
        <v>145</v>
      </c>
      <c r="C17" s="4">
        <f>SUM(M17:O17)</f>
        <v>0</v>
      </c>
      <c r="D17" s="4">
        <f>SUM(Q17:S17)</f>
        <v>0</v>
      </c>
      <c r="E17" s="4"/>
      <c r="F17" s="4"/>
      <c r="G17" s="4">
        <f>ROUND(SUM(C17:F17)/2,0)</f>
        <v>0</v>
      </c>
      <c r="H17" s="4"/>
      <c r="I17" s="4">
        <f>(M17+Q17)/2</f>
        <v>0</v>
      </c>
      <c r="J17" s="4">
        <f>(N17+R17)/2</f>
        <v>0</v>
      </c>
      <c r="K17" s="4">
        <f>(O17+S17)/2</f>
        <v>0</v>
      </c>
      <c r="L17" s="4"/>
      <c r="M17" s="9">
        <v>0</v>
      </c>
      <c r="N17" s="9">
        <v>0</v>
      </c>
      <c r="O17" s="9">
        <v>0</v>
      </c>
      <c r="P17" s="4"/>
      <c r="Q17" s="9">
        <v>0</v>
      </c>
      <c r="R17" s="9">
        <v>0</v>
      </c>
      <c r="S17" s="9">
        <v>0</v>
      </c>
    </row>
    <row r="18" spans="1:19" ht="12.75">
      <c r="A18" s="5">
        <f t="shared" si="0"/>
        <v>4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5">
        <f t="shared" si="0"/>
        <v>5</v>
      </c>
      <c r="B19" s="8" t="s">
        <v>16</v>
      </c>
      <c r="C19" s="4">
        <v>0</v>
      </c>
      <c r="D19" s="4">
        <v>0</v>
      </c>
      <c r="E19" s="4">
        <f aca="true" t="shared" si="1" ref="E19:F21">-C19</f>
        <v>0</v>
      </c>
      <c r="F19" s="4">
        <f t="shared" si="1"/>
        <v>0</v>
      </c>
      <c r="G19" s="4">
        <f>ROUND(SUM(C19:F19)/2,0)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5">
        <f t="shared" si="0"/>
        <v>6</v>
      </c>
      <c r="B20" s="8" t="s">
        <v>144</v>
      </c>
      <c r="C20" s="4">
        <v>0</v>
      </c>
      <c r="D20" s="4">
        <v>0</v>
      </c>
      <c r="E20" s="4">
        <f t="shared" si="1"/>
        <v>0</v>
      </c>
      <c r="F20" s="4">
        <f t="shared" si="1"/>
        <v>0</v>
      </c>
      <c r="G20" s="4">
        <f>ROUND(SUM(C20:F20)/2,0)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5">
        <f t="shared" si="0"/>
        <v>7</v>
      </c>
      <c r="B21" s="8" t="s">
        <v>143</v>
      </c>
      <c r="C21" s="4">
        <v>0</v>
      </c>
      <c r="D21" s="4">
        <v>0</v>
      </c>
      <c r="E21" s="4">
        <f t="shared" si="1"/>
        <v>0</v>
      </c>
      <c r="F21" s="4">
        <f t="shared" si="1"/>
        <v>0</v>
      </c>
      <c r="G21" s="4">
        <f>ROUND(SUM(C21:F21)/2,0)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5">
        <f t="shared" si="0"/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5" thickBot="1">
      <c r="A23" s="5">
        <f t="shared" si="0"/>
        <v>9</v>
      </c>
      <c r="B23" s="7" t="s">
        <v>142</v>
      </c>
      <c r="C23" s="6">
        <f aca="true" t="shared" si="2" ref="C23:N23">SUM(C17:C22)</f>
        <v>0</v>
      </c>
      <c r="D23" s="6">
        <f t="shared" si="2"/>
        <v>0</v>
      </c>
      <c r="E23" s="6">
        <f t="shared" si="2"/>
        <v>0</v>
      </c>
      <c r="F23" s="6">
        <f t="shared" si="2"/>
        <v>0</v>
      </c>
      <c r="G23" s="6">
        <f t="shared" si="2"/>
        <v>0</v>
      </c>
      <c r="H23" s="4"/>
      <c r="I23" s="6">
        <f>SUM(I17:I22)</f>
        <v>0</v>
      </c>
      <c r="J23" s="6">
        <f>SUM(J17:J22)</f>
        <v>0</v>
      </c>
      <c r="K23" s="6">
        <f>SUM(K17:K22)</f>
        <v>0</v>
      </c>
      <c r="L23" s="4"/>
      <c r="M23" s="6">
        <f t="shared" si="2"/>
        <v>0</v>
      </c>
      <c r="N23" s="6">
        <f t="shared" si="2"/>
        <v>0</v>
      </c>
      <c r="O23" s="6">
        <f>SUM(O17:O22)</f>
        <v>0</v>
      </c>
      <c r="P23" s="4"/>
      <c r="Q23" s="6">
        <f>SUM(Q17:Q22)</f>
        <v>0</v>
      </c>
      <c r="R23" s="6">
        <f>SUM(R17:R22)</f>
        <v>0</v>
      </c>
      <c r="S23" s="6">
        <f>SUM(S17:S22)</f>
        <v>0</v>
      </c>
    </row>
    <row r="24" spans="1:19" ht="13.5" thickTop="1">
      <c r="A24" s="5">
        <f t="shared" si="0"/>
        <v>10</v>
      </c>
      <c r="C24" s="3"/>
      <c r="D24" s="3"/>
      <c r="E24" s="3"/>
      <c r="F24" s="3"/>
      <c r="G24" s="3"/>
      <c r="H24" s="4"/>
      <c r="I24" s="3"/>
      <c r="J24" s="3"/>
      <c r="K24" s="3"/>
      <c r="L24" s="4"/>
      <c r="M24" s="3"/>
      <c r="N24" s="3"/>
      <c r="O24" s="3"/>
      <c r="P24" s="4"/>
      <c r="Q24" s="3"/>
      <c r="R24" s="3"/>
      <c r="S24" s="3"/>
    </row>
    <row r="25" spans="1:19" ht="12.75">
      <c r="A25" s="5">
        <f t="shared" si="0"/>
        <v>11</v>
      </c>
      <c r="B25" s="8" t="s">
        <v>141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5">
        <f t="shared" si="0"/>
        <v>12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5">
        <f t="shared" si="0"/>
        <v>13</v>
      </c>
      <c r="B27" s="7" t="s">
        <v>140</v>
      </c>
      <c r="C27" s="4">
        <f aca="true" t="shared" si="3" ref="C27:C36">SUM(M27:O27)</f>
        <v>20307058.85</v>
      </c>
      <c r="D27" s="4">
        <f aca="true" t="shared" si="4" ref="D27:D34">SUM(Q27:S27)</f>
        <v>18391350.9</v>
      </c>
      <c r="E27" s="4"/>
      <c r="F27" s="4"/>
      <c r="G27" s="4">
        <f aca="true" t="shared" si="5" ref="G27:G39">ROUND(SUM(C27:F27)/2,0)</f>
        <v>19349205</v>
      </c>
      <c r="H27" s="4"/>
      <c r="I27" s="4">
        <f>(M27+Q27)/2</f>
        <v>0</v>
      </c>
      <c r="J27" s="4">
        <f>(N27+R27)/2</f>
        <v>4441666.875</v>
      </c>
      <c r="K27" s="4">
        <f>(O27+S27)/2</f>
        <v>14907538</v>
      </c>
      <c r="L27" s="4"/>
      <c r="M27" s="14">
        <v>0</v>
      </c>
      <c r="N27" s="14">
        <v>4470508.4</v>
      </c>
      <c r="O27" s="14">
        <v>15836550.45</v>
      </c>
      <c r="P27" s="4"/>
      <c r="Q27" s="14">
        <v>0</v>
      </c>
      <c r="R27" s="14">
        <f>4406754.35+6071</f>
        <v>4412825.35</v>
      </c>
      <c r="S27" s="14">
        <f>13975280.55+3245</f>
        <v>13978525.55</v>
      </c>
    </row>
    <row r="28" spans="1:19" ht="12.75">
      <c r="A28" s="5">
        <f t="shared" si="0"/>
        <v>14</v>
      </c>
      <c r="B28" s="7" t="s">
        <v>129</v>
      </c>
      <c r="C28" s="4">
        <f t="shared" si="3"/>
        <v>0</v>
      </c>
      <c r="D28" s="4">
        <f t="shared" si="4"/>
        <v>0</v>
      </c>
      <c r="E28" s="4"/>
      <c r="F28" s="4"/>
      <c r="G28" s="4">
        <f>ROUND(SUM(C28:F28)/2,0)</f>
        <v>0</v>
      </c>
      <c r="H28" s="4"/>
      <c r="I28" s="4">
        <f aca="true" t="shared" si="6" ref="I28:K36">(M28+Q28)/2</f>
        <v>0</v>
      </c>
      <c r="J28" s="4">
        <f t="shared" si="6"/>
        <v>0</v>
      </c>
      <c r="K28" s="4">
        <f t="shared" si="6"/>
        <v>0</v>
      </c>
      <c r="L28" s="4"/>
      <c r="M28" s="14">
        <v>0</v>
      </c>
      <c r="N28" s="14">
        <v>0</v>
      </c>
      <c r="O28" s="14">
        <v>0</v>
      </c>
      <c r="P28" s="4"/>
      <c r="Q28" s="14">
        <v>0</v>
      </c>
      <c r="R28" s="14">
        <v>0</v>
      </c>
      <c r="S28" s="14">
        <v>0</v>
      </c>
    </row>
    <row r="29" spans="1:19" ht="12.75">
      <c r="A29" s="5">
        <f t="shared" si="0"/>
        <v>15</v>
      </c>
      <c r="B29" s="7" t="s">
        <v>138</v>
      </c>
      <c r="C29" s="4">
        <f t="shared" si="3"/>
        <v>-1417.1499999999999</v>
      </c>
      <c r="D29" s="4">
        <f t="shared" si="4"/>
        <v>-1680.7</v>
      </c>
      <c r="E29" s="4"/>
      <c r="F29" s="4"/>
      <c r="G29" s="4">
        <f>ROUND(SUM(C29:F29)/2,0)</f>
        <v>-1549</v>
      </c>
      <c r="H29" s="4"/>
      <c r="I29" s="4">
        <f t="shared" si="6"/>
        <v>0</v>
      </c>
      <c r="J29" s="4">
        <f t="shared" si="6"/>
        <v>-2094.925</v>
      </c>
      <c r="K29" s="4">
        <f t="shared" si="6"/>
        <v>546</v>
      </c>
      <c r="L29" s="4"/>
      <c r="M29" s="14">
        <v>0</v>
      </c>
      <c r="N29" s="14">
        <v>-1916.6</v>
      </c>
      <c r="O29" s="14">
        <v>499.45</v>
      </c>
      <c r="P29" s="4"/>
      <c r="Q29" s="14">
        <v>0</v>
      </c>
      <c r="R29" s="14">
        <v>-2273.25</v>
      </c>
      <c r="S29" s="14">
        <v>592.55</v>
      </c>
    </row>
    <row r="30" spans="1:19" ht="12.75">
      <c r="A30" s="5">
        <f t="shared" si="0"/>
        <v>16</v>
      </c>
      <c r="B30" s="7" t="s">
        <v>135</v>
      </c>
      <c r="C30" s="4">
        <f t="shared" si="3"/>
        <v>437.5</v>
      </c>
      <c r="D30" s="4">
        <f>SUM(Q30:S30)</f>
        <v>437.5</v>
      </c>
      <c r="E30" s="4"/>
      <c r="F30" s="4"/>
      <c r="G30" s="4">
        <f>ROUND(SUM(C30:F30)/2,0)</f>
        <v>438</v>
      </c>
      <c r="H30" s="4"/>
      <c r="I30" s="4">
        <f t="shared" si="6"/>
        <v>0</v>
      </c>
      <c r="J30" s="4">
        <f t="shared" si="6"/>
        <v>437.5</v>
      </c>
      <c r="K30" s="4">
        <f t="shared" si="6"/>
        <v>0</v>
      </c>
      <c r="L30" s="4"/>
      <c r="M30" s="14">
        <v>0</v>
      </c>
      <c r="N30" s="14">
        <v>437.5</v>
      </c>
      <c r="O30" s="14">
        <v>0</v>
      </c>
      <c r="P30" s="4"/>
      <c r="Q30" s="14">
        <v>0</v>
      </c>
      <c r="R30" s="14">
        <v>437.5</v>
      </c>
      <c r="S30" s="14">
        <v>0</v>
      </c>
    </row>
    <row r="31" spans="1:19" ht="12.75">
      <c r="A31" s="5">
        <f t="shared" si="0"/>
        <v>17</v>
      </c>
      <c r="B31" s="7" t="s">
        <v>137</v>
      </c>
      <c r="C31" s="4">
        <f t="shared" si="3"/>
        <v>6831.3</v>
      </c>
      <c r="D31" s="4">
        <f t="shared" si="4"/>
        <v>8027.95</v>
      </c>
      <c r="E31" s="4"/>
      <c r="F31" s="4"/>
      <c r="G31" s="4">
        <f>ROUND(SUM(C31:F31)/2,0)</f>
        <v>7430</v>
      </c>
      <c r="H31" s="4"/>
      <c r="I31" s="4">
        <f t="shared" si="6"/>
        <v>0</v>
      </c>
      <c r="J31" s="4">
        <f t="shared" si="6"/>
        <v>0</v>
      </c>
      <c r="K31" s="4">
        <f t="shared" si="6"/>
        <v>7429.625</v>
      </c>
      <c r="L31" s="4"/>
      <c r="M31" s="14">
        <v>0</v>
      </c>
      <c r="N31" s="14">
        <v>0</v>
      </c>
      <c r="O31" s="14">
        <v>6831.3</v>
      </c>
      <c r="P31" s="4"/>
      <c r="Q31" s="14">
        <v>0</v>
      </c>
      <c r="R31" s="14">
        <v>0</v>
      </c>
      <c r="S31" s="14">
        <v>8027.95</v>
      </c>
    </row>
    <row r="32" spans="1:19" ht="12.75">
      <c r="A32" s="5">
        <f t="shared" si="0"/>
        <v>18</v>
      </c>
      <c r="B32" s="7" t="s">
        <v>131</v>
      </c>
      <c r="C32" s="4">
        <f t="shared" si="3"/>
        <v>1429198</v>
      </c>
      <c r="D32" s="4">
        <f t="shared" si="4"/>
        <v>1395110.2000000002</v>
      </c>
      <c r="E32" s="4"/>
      <c r="F32" s="4"/>
      <c r="G32" s="4">
        <f t="shared" si="5"/>
        <v>1412154</v>
      </c>
      <c r="H32" s="4"/>
      <c r="I32" s="4">
        <f t="shared" si="6"/>
        <v>0</v>
      </c>
      <c r="J32" s="4">
        <f t="shared" si="6"/>
        <v>136977.52500000002</v>
      </c>
      <c r="K32" s="4">
        <f t="shared" si="6"/>
        <v>1275176.5750000002</v>
      </c>
      <c r="L32" s="4"/>
      <c r="M32" s="14">
        <v>0</v>
      </c>
      <c r="N32" s="14">
        <v>140693.45</v>
      </c>
      <c r="O32" s="14">
        <v>1288504.55</v>
      </c>
      <c r="P32" s="4"/>
      <c r="Q32" s="14">
        <v>0</v>
      </c>
      <c r="R32" s="14">
        <f>193531.6-60270</f>
        <v>133261.6</v>
      </c>
      <c r="S32" s="14">
        <f>1917415.6-655567</f>
        <v>1261848.6</v>
      </c>
    </row>
    <row r="33" spans="1:19" ht="12.75">
      <c r="A33" s="5">
        <f t="shared" si="0"/>
        <v>19</v>
      </c>
      <c r="B33" s="8" t="s">
        <v>123</v>
      </c>
      <c r="C33" s="4">
        <f t="shared" si="3"/>
        <v>41.5</v>
      </c>
      <c r="D33" s="4">
        <f t="shared" si="4"/>
        <v>41.5</v>
      </c>
      <c r="E33" s="4"/>
      <c r="F33" s="4"/>
      <c r="G33" s="4">
        <f t="shared" si="5"/>
        <v>42</v>
      </c>
      <c r="H33" s="4"/>
      <c r="I33" s="4">
        <f t="shared" si="6"/>
        <v>0</v>
      </c>
      <c r="J33" s="4">
        <f t="shared" si="6"/>
        <v>12</v>
      </c>
      <c r="K33" s="4">
        <f t="shared" si="6"/>
        <v>29.5</v>
      </c>
      <c r="L33" s="4"/>
      <c r="M33" s="14">
        <v>0</v>
      </c>
      <c r="N33" s="14">
        <v>12</v>
      </c>
      <c r="O33" s="14">
        <v>29.5</v>
      </c>
      <c r="P33" s="4"/>
      <c r="Q33" s="14">
        <v>0</v>
      </c>
      <c r="R33" s="14">
        <v>12</v>
      </c>
      <c r="S33" s="14">
        <v>29.5</v>
      </c>
    </row>
    <row r="34" spans="1:19" ht="12.75">
      <c r="A34" s="5">
        <f t="shared" si="0"/>
        <v>20</v>
      </c>
      <c r="B34" s="8" t="s">
        <v>121</v>
      </c>
      <c r="C34" s="4">
        <f t="shared" si="3"/>
        <v>305091.05</v>
      </c>
      <c r="D34" s="4">
        <f t="shared" si="4"/>
        <v>333926.05</v>
      </c>
      <c r="E34" s="4"/>
      <c r="F34" s="4"/>
      <c r="G34" s="4">
        <f t="shared" si="5"/>
        <v>319509</v>
      </c>
      <c r="H34" s="4"/>
      <c r="I34" s="4">
        <f t="shared" si="6"/>
        <v>0</v>
      </c>
      <c r="J34" s="4">
        <f t="shared" si="6"/>
        <v>16894.550000000003</v>
      </c>
      <c r="K34" s="4">
        <f t="shared" si="6"/>
        <v>302614</v>
      </c>
      <c r="L34" s="4"/>
      <c r="M34" s="14">
        <v>0</v>
      </c>
      <c r="N34" s="14">
        <v>15761.550000000003</v>
      </c>
      <c r="O34" s="14">
        <v>289329.5</v>
      </c>
      <c r="P34" s="4"/>
      <c r="Q34" s="14">
        <v>0</v>
      </c>
      <c r="R34" s="14">
        <f>109056.55-91029</f>
        <v>18027.550000000003</v>
      </c>
      <c r="S34" s="14">
        <f>1136163.5-820265</f>
        <v>315898.5</v>
      </c>
    </row>
    <row r="35" spans="1:19" ht="12.75">
      <c r="A35" s="5">
        <f t="shared" si="0"/>
        <v>21</v>
      </c>
      <c r="B35" s="7" t="s">
        <v>118</v>
      </c>
      <c r="C35" s="4">
        <f t="shared" si="3"/>
        <v>400787</v>
      </c>
      <c r="D35" s="4">
        <f>SUM(Q35:S35)</f>
        <v>230257.75</v>
      </c>
      <c r="E35" s="4"/>
      <c r="F35" s="4"/>
      <c r="G35" s="4">
        <f>ROUND(SUM(C35:F35)/2,0)</f>
        <v>315522</v>
      </c>
      <c r="H35" s="4"/>
      <c r="I35" s="4">
        <f t="shared" si="6"/>
        <v>0</v>
      </c>
      <c r="J35" s="4">
        <f t="shared" si="6"/>
        <v>12122.074999999997</v>
      </c>
      <c r="K35" s="4">
        <f t="shared" si="6"/>
        <v>303400.3</v>
      </c>
      <c r="L35" s="4"/>
      <c r="M35" s="14">
        <v>0</v>
      </c>
      <c r="N35" s="14">
        <v>48158.2</v>
      </c>
      <c r="O35" s="14">
        <v>352628.8</v>
      </c>
      <c r="P35" s="4"/>
      <c r="Q35" s="14">
        <v>0</v>
      </c>
      <c r="R35" s="14">
        <f>-33762.05+9848</f>
        <v>-23914.050000000003</v>
      </c>
      <c r="S35" s="14">
        <f>288570.8-34399</f>
        <v>254171.8</v>
      </c>
    </row>
    <row r="36" spans="1:19" ht="12.75">
      <c r="A36" s="5">
        <f t="shared" si="0"/>
        <v>22</v>
      </c>
      <c r="B36" s="7" t="s">
        <v>113</v>
      </c>
      <c r="C36" s="4">
        <f t="shared" si="3"/>
        <v>0</v>
      </c>
      <c r="D36" s="4">
        <f>SUM(Q36:S36)</f>
        <v>0</v>
      </c>
      <c r="E36" s="4"/>
      <c r="F36" s="4"/>
      <c r="G36" s="4">
        <f>ROUND(SUM(C36:F36)/2,0)</f>
        <v>0</v>
      </c>
      <c r="H36" s="4"/>
      <c r="I36" s="4">
        <f t="shared" si="6"/>
        <v>0</v>
      </c>
      <c r="J36" s="4">
        <f t="shared" si="6"/>
        <v>0</v>
      </c>
      <c r="K36" s="4">
        <f t="shared" si="6"/>
        <v>0</v>
      </c>
      <c r="L36" s="4"/>
      <c r="M36" s="14">
        <v>0</v>
      </c>
      <c r="N36" s="14">
        <v>0</v>
      </c>
      <c r="O36" s="14">
        <v>0</v>
      </c>
      <c r="P36" s="4"/>
      <c r="Q36" s="14">
        <v>0</v>
      </c>
      <c r="R36" s="14">
        <v>0</v>
      </c>
      <c r="S36" s="14">
        <v>0</v>
      </c>
    </row>
    <row r="37" spans="1:19" ht="12.75">
      <c r="A37" s="5">
        <f t="shared" si="0"/>
        <v>23</v>
      </c>
      <c r="B37" s="8" t="s">
        <v>16</v>
      </c>
      <c r="C37" s="9">
        <v>258.15</v>
      </c>
      <c r="D37" s="9">
        <v>258.15</v>
      </c>
      <c r="E37" s="4">
        <f aca="true" t="shared" si="7" ref="E37:F39">-C37</f>
        <v>-258.15</v>
      </c>
      <c r="F37" s="4">
        <f t="shared" si="7"/>
        <v>-258.15</v>
      </c>
      <c r="G37" s="4">
        <f t="shared" si="5"/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5">
        <f t="shared" si="0"/>
        <v>24</v>
      </c>
      <c r="B38" s="8" t="s">
        <v>105</v>
      </c>
      <c r="C38" s="9">
        <v>1947052.11</v>
      </c>
      <c r="D38" s="9">
        <v>1750892.46</v>
      </c>
      <c r="E38" s="4">
        <f t="shared" si="7"/>
        <v>-1947052.11</v>
      </c>
      <c r="F38" s="4">
        <f t="shared" si="7"/>
        <v>-1750892.46</v>
      </c>
      <c r="G38" s="4">
        <f t="shared" si="5"/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5">
        <f t="shared" si="0"/>
        <v>25</v>
      </c>
      <c r="B39" s="8" t="s">
        <v>104</v>
      </c>
      <c r="C39" s="9">
        <v>-9447</v>
      </c>
      <c r="D39" s="9">
        <v>-9316</v>
      </c>
      <c r="E39" s="4">
        <f t="shared" si="7"/>
        <v>9447</v>
      </c>
      <c r="F39" s="4">
        <f t="shared" si="7"/>
        <v>9316</v>
      </c>
      <c r="G39" s="4">
        <f t="shared" si="5"/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5">
        <f t="shared" si="0"/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3.5" thickBot="1">
      <c r="A41" s="5">
        <f t="shared" si="0"/>
        <v>27</v>
      </c>
      <c r="B41" s="8" t="s">
        <v>103</v>
      </c>
      <c r="C41" s="6">
        <f>SUM(C27:C40)</f>
        <v>24385891.310000002</v>
      </c>
      <c r="D41" s="6">
        <f>SUM(D27:D40)</f>
        <v>22099305.759999998</v>
      </c>
      <c r="E41" s="6">
        <f>SUM(E27:E40)</f>
        <v>-1937863.26</v>
      </c>
      <c r="F41" s="6">
        <f>SUM(F27:F40)</f>
        <v>-1741834.6099999999</v>
      </c>
      <c r="G41" s="6">
        <f>SUM(G27:G40)</f>
        <v>21402751</v>
      </c>
      <c r="H41" s="4"/>
      <c r="I41" s="6">
        <f>SUM(I27:I40)</f>
        <v>0</v>
      </c>
      <c r="J41" s="6">
        <f>SUM(J27:J40)</f>
        <v>4606015.600000001</v>
      </c>
      <c r="K41" s="6">
        <f>SUM(K27:K40)</f>
        <v>16796734</v>
      </c>
      <c r="L41" s="4"/>
      <c r="M41" s="6">
        <f>SUM(M27:M40)</f>
        <v>0</v>
      </c>
      <c r="N41" s="6">
        <f>SUM(N27:N40)</f>
        <v>4673654.500000001</v>
      </c>
      <c r="O41" s="6">
        <f>SUM(O27:O40)</f>
        <v>17774373.55</v>
      </c>
      <c r="P41" s="4"/>
      <c r="Q41" s="6">
        <f>SUM(Q27:Q40)</f>
        <v>0</v>
      </c>
      <c r="R41" s="6">
        <f>SUM(R27:R40)</f>
        <v>4538376.699999999</v>
      </c>
      <c r="S41" s="6">
        <f>SUM(S27:S40)</f>
        <v>15819094.450000001</v>
      </c>
    </row>
    <row r="42" spans="1:19" ht="13.5" thickTop="1">
      <c r="A42" s="5">
        <f t="shared" si="0"/>
        <v>28</v>
      </c>
      <c r="C42" s="3"/>
      <c r="D42" s="3"/>
      <c r="E42" s="3"/>
      <c r="F42" s="3"/>
      <c r="G42" s="3"/>
      <c r="H42" s="4"/>
      <c r="I42" s="3"/>
      <c r="J42" s="3"/>
      <c r="K42" s="3"/>
      <c r="L42" s="4"/>
      <c r="M42" s="3"/>
      <c r="N42" s="3"/>
      <c r="O42" s="3"/>
      <c r="P42" s="4"/>
      <c r="Q42" s="3"/>
      <c r="R42" s="3"/>
      <c r="S42" s="3"/>
    </row>
    <row r="43" spans="1:19" ht="12.75">
      <c r="A43" s="5">
        <f t="shared" si="0"/>
        <v>29</v>
      </c>
      <c r="B43" s="7" t="s">
        <v>102</v>
      </c>
      <c r="C43" s="4" t="s">
        <v>101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5">
        <f t="shared" si="0"/>
        <v>30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5">
        <f t="shared" si="0"/>
        <v>31</v>
      </c>
      <c r="B45" s="7" t="s">
        <v>86</v>
      </c>
      <c r="C45" s="4">
        <f aca="true" t="shared" si="8" ref="C45:C54">SUM(M45:O45)</f>
        <v>-2209343.15</v>
      </c>
      <c r="D45" s="4">
        <f aca="true" t="shared" si="9" ref="D45:D54">SUM(Q45:S45)</f>
        <v>-2391702.95</v>
      </c>
      <c r="E45" s="4"/>
      <c r="F45" s="4"/>
      <c r="G45" s="4">
        <f>ROUND(SUM(C45:F45)/2,0)</f>
        <v>-2300523</v>
      </c>
      <c r="H45" s="4"/>
      <c r="I45" s="4">
        <f aca="true" t="shared" si="10" ref="I45:K46">(+M45+Q45)/2</f>
        <v>0</v>
      </c>
      <c r="J45" s="4">
        <f t="shared" si="10"/>
        <v>-520805.425</v>
      </c>
      <c r="K45" s="4">
        <f t="shared" si="10"/>
        <v>-1779717.625</v>
      </c>
      <c r="L45" s="4"/>
      <c r="M45" s="14">
        <v>0</v>
      </c>
      <c r="N45" s="14">
        <v>-516682.6</v>
      </c>
      <c r="O45" s="14">
        <v>-1692660.55</v>
      </c>
      <c r="P45" s="4"/>
      <c r="Q45" s="14">
        <v>0</v>
      </c>
      <c r="R45" s="14">
        <v>-524928.25</v>
      </c>
      <c r="S45" s="14">
        <v>-1866774.7</v>
      </c>
    </row>
    <row r="46" spans="1:19" ht="12.75">
      <c r="A46" s="5">
        <f t="shared" si="0"/>
        <v>32</v>
      </c>
      <c r="B46" s="7" t="s">
        <v>80</v>
      </c>
      <c r="C46" s="4">
        <f>SUM(M46:O46)</f>
        <v>526873.97</v>
      </c>
      <c r="D46" s="4">
        <f>SUM(Q46:S46)</f>
        <v>713793.37</v>
      </c>
      <c r="E46" s="4"/>
      <c r="F46" s="4"/>
      <c r="G46" s="4">
        <f>ROUND(SUM(C46:F46)/2,0)</f>
        <v>620334</v>
      </c>
      <c r="H46" s="4"/>
      <c r="I46" s="4">
        <f t="shared" si="10"/>
        <v>0</v>
      </c>
      <c r="J46" s="4">
        <f t="shared" si="10"/>
        <v>0.05</v>
      </c>
      <c r="K46" s="4">
        <f t="shared" si="10"/>
        <v>620333.62</v>
      </c>
      <c r="L46" s="4"/>
      <c r="M46" s="14">
        <v>0</v>
      </c>
      <c r="N46" s="14">
        <v>0</v>
      </c>
      <c r="O46" s="14">
        <v>526873.97</v>
      </c>
      <c r="P46" s="4"/>
      <c r="Q46" s="14">
        <v>0</v>
      </c>
      <c r="R46" s="14">
        <v>0.1</v>
      </c>
      <c r="S46" s="14">
        <v>713793.27</v>
      </c>
    </row>
    <row r="47" spans="1:19" ht="12.75">
      <c r="A47" s="5">
        <f t="shared" si="0"/>
        <v>33</v>
      </c>
      <c r="B47" s="8" t="s">
        <v>85</v>
      </c>
      <c r="C47" s="4">
        <f t="shared" si="8"/>
        <v>2084.36</v>
      </c>
      <c r="D47" s="4">
        <f t="shared" si="9"/>
        <v>2084</v>
      </c>
      <c r="E47" s="4"/>
      <c r="F47" s="4"/>
      <c r="G47" s="4">
        <f aca="true" t="shared" si="11" ref="G47:G57">ROUND(SUM(C47:F47)/2,0)</f>
        <v>2084</v>
      </c>
      <c r="H47" s="4"/>
      <c r="I47" s="4">
        <f>(+M47+Q47)/2</f>
        <v>0</v>
      </c>
      <c r="J47" s="4">
        <f>(+N47+R47)/2</f>
        <v>2084.1800000000003</v>
      </c>
      <c r="K47" s="4">
        <f>(+O47+S47)/2</f>
        <v>0</v>
      </c>
      <c r="L47" s="4"/>
      <c r="M47" s="14">
        <v>0</v>
      </c>
      <c r="N47" s="14">
        <v>2084.36</v>
      </c>
      <c r="O47" s="14">
        <v>0</v>
      </c>
      <c r="P47" s="4"/>
      <c r="Q47" s="14">
        <v>0</v>
      </c>
      <c r="R47" s="14">
        <v>2084</v>
      </c>
      <c r="S47" s="14">
        <v>0</v>
      </c>
    </row>
    <row r="48" spans="1:19" ht="12.75">
      <c r="A48" s="5">
        <f t="shared" si="0"/>
        <v>34</v>
      </c>
      <c r="B48" s="7" t="s">
        <v>69</v>
      </c>
      <c r="C48" s="4">
        <f t="shared" si="8"/>
        <v>2209343.15</v>
      </c>
      <c r="D48" s="4">
        <f t="shared" si="9"/>
        <v>2391702.95</v>
      </c>
      <c r="E48" s="4"/>
      <c r="F48" s="4"/>
      <c r="G48" s="4">
        <f>ROUND(SUM(C48:F48)/2,0)</f>
        <v>2300523</v>
      </c>
      <c r="H48" s="4"/>
      <c r="I48" s="4">
        <f aca="true" t="shared" si="12" ref="I48:K54">(+M48+Q48)/2</f>
        <v>0</v>
      </c>
      <c r="J48" s="4">
        <f t="shared" si="12"/>
        <v>520805.425</v>
      </c>
      <c r="K48" s="4">
        <f t="shared" si="12"/>
        <v>1779717.625</v>
      </c>
      <c r="L48" s="4"/>
      <c r="M48" s="14">
        <v>0</v>
      </c>
      <c r="N48" s="14">
        <v>516682.6</v>
      </c>
      <c r="O48" s="14">
        <v>1692660.55</v>
      </c>
      <c r="P48" s="4"/>
      <c r="Q48" s="14">
        <v>0</v>
      </c>
      <c r="R48" s="14">
        <v>524928.25</v>
      </c>
      <c r="S48" s="14">
        <v>1866774.7</v>
      </c>
    </row>
    <row r="49" spans="1:19" ht="12.75">
      <c r="A49" s="5">
        <f t="shared" si="0"/>
        <v>35</v>
      </c>
      <c r="B49" s="7" t="s">
        <v>67</v>
      </c>
      <c r="C49" s="4">
        <f t="shared" si="8"/>
        <v>-26192.200000000004</v>
      </c>
      <c r="D49" s="4">
        <f t="shared" si="9"/>
        <v>-339791.16000000003</v>
      </c>
      <c r="E49" s="4"/>
      <c r="F49" s="4"/>
      <c r="G49" s="4">
        <f>ROUND(SUM(C49:F49)/2,0)</f>
        <v>-182992</v>
      </c>
      <c r="H49" s="4"/>
      <c r="I49" s="4">
        <f t="shared" si="12"/>
        <v>0</v>
      </c>
      <c r="J49" s="4">
        <f t="shared" si="12"/>
        <v>-8053.125</v>
      </c>
      <c r="K49" s="4">
        <f t="shared" si="12"/>
        <v>-174938.555</v>
      </c>
      <c r="L49" s="4"/>
      <c r="M49" s="14">
        <v>0</v>
      </c>
      <c r="N49" s="14">
        <v>12853.71</v>
      </c>
      <c r="O49" s="14">
        <v>-39045.91</v>
      </c>
      <c r="P49" s="4"/>
      <c r="Q49" s="14">
        <v>0</v>
      </c>
      <c r="R49" s="14">
        <v>-28959.96</v>
      </c>
      <c r="S49" s="14">
        <v>-310831.2</v>
      </c>
    </row>
    <row r="50" spans="1:19" ht="12.75">
      <c r="A50" s="5">
        <f t="shared" si="0"/>
        <v>36</v>
      </c>
      <c r="B50" s="15" t="s">
        <v>457</v>
      </c>
      <c r="C50" s="4">
        <f>SUM(M50:O50)</f>
        <v>107556.22</v>
      </c>
      <c r="D50" s="4">
        <f>SUM(Q50:S50)</f>
        <v>58683.47</v>
      </c>
      <c r="E50" s="4"/>
      <c r="F50" s="4"/>
      <c r="G50" s="4">
        <f>ROUND(SUM(C50:F50)/2,0)</f>
        <v>83120</v>
      </c>
      <c r="H50" s="4"/>
      <c r="I50" s="4">
        <f t="shared" si="12"/>
        <v>0</v>
      </c>
      <c r="J50" s="4">
        <f t="shared" si="12"/>
        <v>0</v>
      </c>
      <c r="K50" s="4">
        <f t="shared" si="12"/>
        <v>83119.845</v>
      </c>
      <c r="L50" s="4"/>
      <c r="M50" s="14">
        <v>0</v>
      </c>
      <c r="N50" s="14">
        <v>0</v>
      </c>
      <c r="O50" s="14">
        <v>107556.22</v>
      </c>
      <c r="P50" s="4"/>
      <c r="Q50" s="14">
        <v>0</v>
      </c>
      <c r="R50" s="14">
        <v>0</v>
      </c>
      <c r="S50" s="14">
        <v>58683.47</v>
      </c>
    </row>
    <row r="51" spans="1:19" ht="12.75">
      <c r="A51" s="5">
        <f t="shared" si="0"/>
        <v>37</v>
      </c>
      <c r="B51" s="8" t="s">
        <v>22</v>
      </c>
      <c r="C51" s="4">
        <f t="shared" si="8"/>
        <v>366788.94</v>
      </c>
      <c r="D51" s="4">
        <f t="shared" si="9"/>
        <v>337193.39</v>
      </c>
      <c r="E51" s="4"/>
      <c r="F51" s="4"/>
      <c r="G51" s="4">
        <f t="shared" si="11"/>
        <v>351991</v>
      </c>
      <c r="H51" s="4"/>
      <c r="I51" s="4">
        <f t="shared" si="12"/>
        <v>0</v>
      </c>
      <c r="J51" s="4">
        <f t="shared" si="12"/>
        <v>77641.25</v>
      </c>
      <c r="K51" s="4">
        <f t="shared" si="12"/>
        <v>274349.91500000004</v>
      </c>
      <c r="L51" s="4"/>
      <c r="M51" s="14">
        <v>0</v>
      </c>
      <c r="N51" s="14">
        <v>110087.8</v>
      </c>
      <c r="O51" s="14">
        <v>256701.14</v>
      </c>
      <c r="P51" s="4"/>
      <c r="Q51" s="14">
        <v>0</v>
      </c>
      <c r="R51" s="39">
        <f>5715.7+39479</f>
        <v>45194.7</v>
      </c>
      <c r="S51" s="14">
        <f>26454.69+265544</f>
        <v>291998.69</v>
      </c>
    </row>
    <row r="52" spans="1:19" ht="12.75">
      <c r="A52" s="5">
        <f t="shared" si="0"/>
        <v>38</v>
      </c>
      <c r="B52" s="8" t="s">
        <v>20</v>
      </c>
      <c r="C52" s="4">
        <f>SUM(M52:O52)</f>
        <v>-0.35</v>
      </c>
      <c r="D52" s="4">
        <f>SUM(Q52:S52)</f>
        <v>-0.25</v>
      </c>
      <c r="E52" s="4"/>
      <c r="F52" s="4"/>
      <c r="G52" s="4">
        <f>ROUND(SUM(C52:F52)/2,0)</f>
        <v>0</v>
      </c>
      <c r="H52" s="4"/>
      <c r="I52" s="4">
        <f t="shared" si="12"/>
        <v>0</v>
      </c>
      <c r="J52" s="4">
        <f t="shared" si="12"/>
        <v>-0.05</v>
      </c>
      <c r="K52" s="4">
        <f t="shared" si="12"/>
        <v>-0.25</v>
      </c>
      <c r="L52" s="4"/>
      <c r="M52" s="14">
        <v>0</v>
      </c>
      <c r="N52" s="14">
        <v>-0.1</v>
      </c>
      <c r="O52" s="14">
        <v>-0.25</v>
      </c>
      <c r="P52" s="4"/>
      <c r="Q52" s="14">
        <v>0</v>
      </c>
      <c r="R52" s="39">
        <v>0</v>
      </c>
      <c r="S52" s="14">
        <v>-0.25</v>
      </c>
    </row>
    <row r="53" spans="1:19" ht="12.75">
      <c r="A53" s="5">
        <f t="shared" si="0"/>
        <v>39</v>
      </c>
      <c r="B53" s="15" t="s">
        <v>19</v>
      </c>
      <c r="C53" s="4">
        <f>SUM(M53:O53)</f>
        <v>96174.26999999999</v>
      </c>
      <c r="D53" s="4">
        <f>SUM(Q53:S53)</f>
        <v>106860.28</v>
      </c>
      <c r="E53" s="4"/>
      <c r="F53" s="4"/>
      <c r="G53" s="4">
        <f>ROUND(SUM(C53:F53)/2,0)</f>
        <v>101517</v>
      </c>
      <c r="H53" s="4"/>
      <c r="I53" s="4">
        <f t="shared" si="12"/>
        <v>0</v>
      </c>
      <c r="J53" s="4">
        <f t="shared" si="12"/>
        <v>14638.015</v>
      </c>
      <c r="K53" s="4">
        <f t="shared" si="12"/>
        <v>86879.26</v>
      </c>
      <c r="L53" s="4"/>
      <c r="M53" s="14">
        <v>0</v>
      </c>
      <c r="N53" s="14">
        <v>13867.59</v>
      </c>
      <c r="O53" s="14">
        <v>82306.68</v>
      </c>
      <c r="P53" s="4"/>
      <c r="Q53" s="14">
        <v>0</v>
      </c>
      <c r="R53" s="14">
        <v>15408.44</v>
      </c>
      <c r="S53" s="14">
        <v>91451.84</v>
      </c>
    </row>
    <row r="54" spans="1:19" ht="12.75">
      <c r="A54" s="5">
        <f t="shared" si="0"/>
        <v>40</v>
      </c>
      <c r="B54" s="8" t="s">
        <v>18</v>
      </c>
      <c r="C54" s="4">
        <f t="shared" si="8"/>
        <v>116181.79999999999</v>
      </c>
      <c r="D54" s="4">
        <f t="shared" si="9"/>
        <v>59539.130000000005</v>
      </c>
      <c r="E54" s="4"/>
      <c r="F54" s="4"/>
      <c r="G54" s="4">
        <f t="shared" si="11"/>
        <v>87860</v>
      </c>
      <c r="H54" s="4"/>
      <c r="I54" s="4">
        <f t="shared" si="12"/>
        <v>0</v>
      </c>
      <c r="J54" s="4">
        <f t="shared" si="12"/>
        <v>14831.669999999998</v>
      </c>
      <c r="K54" s="4">
        <f t="shared" si="12"/>
        <v>73028.795</v>
      </c>
      <c r="L54" s="4"/>
      <c r="M54" s="14">
        <v>0</v>
      </c>
      <c r="N54" s="14">
        <v>11719.4</v>
      </c>
      <c r="O54" s="14">
        <v>104462.4</v>
      </c>
      <c r="P54" s="4"/>
      <c r="Q54" s="14">
        <v>0</v>
      </c>
      <c r="R54" s="14">
        <v>17943.94</v>
      </c>
      <c r="S54" s="14">
        <v>41595.19</v>
      </c>
    </row>
    <row r="55" spans="1:19" ht="12.75">
      <c r="A55" s="5">
        <f t="shared" si="0"/>
        <v>41</v>
      </c>
      <c r="B55" s="8" t="s">
        <v>16</v>
      </c>
      <c r="C55" s="9">
        <v>0</v>
      </c>
      <c r="D55" s="9">
        <v>0</v>
      </c>
      <c r="E55" s="4">
        <f aca="true" t="shared" si="13" ref="E55:F57">-C55</f>
        <v>0</v>
      </c>
      <c r="F55" s="4">
        <f t="shared" si="13"/>
        <v>0</v>
      </c>
      <c r="G55" s="4">
        <f t="shared" si="11"/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5">
        <f t="shared" si="0"/>
        <v>42</v>
      </c>
      <c r="B56" s="8" t="s">
        <v>15</v>
      </c>
      <c r="C56" s="9">
        <v>2120878.53</v>
      </c>
      <c r="D56" s="9">
        <v>1997257.73</v>
      </c>
      <c r="E56" s="4">
        <f t="shared" si="13"/>
        <v>-2120878.53</v>
      </c>
      <c r="F56" s="4">
        <f t="shared" si="13"/>
        <v>-1997257.73</v>
      </c>
      <c r="G56" s="4">
        <f t="shared" si="11"/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5">
        <f t="shared" si="0"/>
        <v>43</v>
      </c>
      <c r="B57" s="8" t="s">
        <v>14</v>
      </c>
      <c r="C57" s="9">
        <v>0</v>
      </c>
      <c r="D57" s="9">
        <v>0</v>
      </c>
      <c r="E57" s="4">
        <f t="shared" si="13"/>
        <v>0</v>
      </c>
      <c r="F57" s="4">
        <f t="shared" si="13"/>
        <v>0</v>
      </c>
      <c r="G57" s="4">
        <f t="shared" si="11"/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5">
        <f t="shared" si="0"/>
        <v>44</v>
      </c>
      <c r="B58" s="8" t="s">
        <v>11</v>
      </c>
      <c r="C58" s="9">
        <v>0</v>
      </c>
      <c r="D58" s="9">
        <v>0</v>
      </c>
      <c r="E58" s="4">
        <f>-C58</f>
        <v>0</v>
      </c>
      <c r="F58" s="4">
        <f>-D58</f>
        <v>0</v>
      </c>
      <c r="G58" s="4">
        <f>ROUND(SUM(C58:F58)/2,0)</f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5">
        <f t="shared" si="0"/>
        <v>45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3.5" thickBot="1">
      <c r="A60" s="5">
        <f t="shared" si="0"/>
        <v>46</v>
      </c>
      <c r="B60" s="8"/>
      <c r="C60" s="6">
        <f>SUM(C45:C59)</f>
        <v>3310345.54</v>
      </c>
      <c r="D60" s="6">
        <f>SUM(D45:D59)</f>
        <v>2935619.96</v>
      </c>
      <c r="E60" s="6">
        <f>SUM(E45:E59)</f>
        <v>-2120878.53</v>
      </c>
      <c r="F60" s="6">
        <f>SUM(F45:F59)</f>
        <v>-1997257.73</v>
      </c>
      <c r="G60" s="6">
        <f>SUM(G45:G59)</f>
        <v>1063914</v>
      </c>
      <c r="H60" s="4"/>
      <c r="I60" s="6">
        <f>SUM(I45:I59)</f>
        <v>0</v>
      </c>
      <c r="J60" s="6">
        <f>SUM(J45:J59)</f>
        <v>101141.98999999998</v>
      </c>
      <c r="K60" s="6">
        <f>SUM(K45:K59)</f>
        <v>962772.6300000002</v>
      </c>
      <c r="L60" s="4"/>
      <c r="M60" s="6">
        <f>SUM(M45:M59)</f>
        <v>0</v>
      </c>
      <c r="N60" s="6">
        <f>SUM(N45:N59)</f>
        <v>150612.75999999998</v>
      </c>
      <c r="O60" s="6">
        <f>SUM(O45:O59)</f>
        <v>1038854.2499999999</v>
      </c>
      <c r="P60" s="4"/>
      <c r="Q60" s="6">
        <f>SUM(Q45:Q59)</f>
        <v>0</v>
      </c>
      <c r="R60" s="6">
        <f>SUM(R45:R59)</f>
        <v>51671.21999999997</v>
      </c>
      <c r="S60" s="6">
        <f>SUM(S45:S59)</f>
        <v>886691.01</v>
      </c>
    </row>
    <row r="61" spans="1:19" ht="13.5" thickTop="1">
      <c r="A61" s="5">
        <f t="shared" si="0"/>
        <v>47</v>
      </c>
      <c r="C61" s="3"/>
      <c r="D61" s="3">
        <f>+D56-1964634</f>
        <v>32623.72999999998</v>
      </c>
      <c r="E61" s="3"/>
      <c r="F61" s="3"/>
      <c r="G61" s="3"/>
      <c r="H61" s="4"/>
      <c r="I61" s="3"/>
      <c r="J61" s="3"/>
      <c r="K61" s="3"/>
      <c r="L61" s="4"/>
      <c r="M61" s="3"/>
      <c r="N61" s="3"/>
      <c r="O61" s="3"/>
      <c r="P61" s="4"/>
      <c r="Q61" s="3"/>
      <c r="R61" s="3"/>
      <c r="S61" s="3"/>
    </row>
    <row r="62" spans="1:19" ht="12.75">
      <c r="A62" s="5">
        <f t="shared" si="0"/>
        <v>48</v>
      </c>
      <c r="C62" s="4"/>
      <c r="D62" s="4" t="s">
        <v>101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5">
        <f t="shared" si="0"/>
        <v>49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5">
        <f t="shared" si="0"/>
        <v>50</v>
      </c>
      <c r="B64" s="8" t="s">
        <v>9</v>
      </c>
      <c r="C64" s="9">
        <v>3146822</v>
      </c>
      <c r="D64" s="9">
        <v>3019124</v>
      </c>
      <c r="E64" s="4">
        <f>-C64</f>
        <v>-3146822</v>
      </c>
      <c r="F64" s="4">
        <f>-D64</f>
        <v>-3019124</v>
      </c>
      <c r="G64" s="4">
        <f>ROUND(SUM(C64:F64)/2,0)</f>
        <v>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5">
        <f t="shared" si="0"/>
        <v>51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3.5" thickBot="1">
      <c r="A66" s="5">
        <f t="shared" si="0"/>
        <v>52</v>
      </c>
      <c r="B66" s="8" t="s">
        <v>8</v>
      </c>
      <c r="C66" s="6">
        <f>SUM(C60+C64)</f>
        <v>6457167.54</v>
      </c>
      <c r="D66" s="6">
        <f>SUM(D60+D64)</f>
        <v>5954743.96</v>
      </c>
      <c r="E66" s="6">
        <f>SUM(E60+E64)</f>
        <v>-5267700.529999999</v>
      </c>
      <c r="F66" s="6">
        <f>SUM(F60+F64)</f>
        <v>-5016381.73</v>
      </c>
      <c r="G66" s="6">
        <f>SUM(G60+G64)</f>
        <v>1063914</v>
      </c>
      <c r="H66" s="4"/>
      <c r="I66" s="6">
        <f>SUM(I60+I64)</f>
        <v>0</v>
      </c>
      <c r="J66" s="6">
        <f>SUM(J60+J64)</f>
        <v>101141.98999999998</v>
      </c>
      <c r="K66" s="6">
        <f>SUM(K60+K64)</f>
        <v>962772.6300000002</v>
      </c>
      <c r="L66" s="4"/>
      <c r="M66" s="6">
        <f>SUM(M60+M64)</f>
        <v>0</v>
      </c>
      <c r="N66" s="6">
        <f>SUM(N60+N64)</f>
        <v>150612.75999999998</v>
      </c>
      <c r="O66" s="6">
        <f>SUM(O60+O64)</f>
        <v>1038854.2499999999</v>
      </c>
      <c r="P66" s="4"/>
      <c r="Q66" s="6">
        <f>SUM(Q60+Q64)</f>
        <v>0</v>
      </c>
      <c r="R66" s="6">
        <f>SUM(R60+R64)</f>
        <v>51671.21999999997</v>
      </c>
      <c r="S66" s="6">
        <f>SUM(S60+S64)</f>
        <v>886691.01</v>
      </c>
    </row>
    <row r="67" spans="1:19" ht="13.5" thickTop="1">
      <c r="A67" s="5">
        <f t="shared" si="0"/>
        <v>53</v>
      </c>
      <c r="C67" s="3"/>
      <c r="D67" s="3"/>
      <c r="E67" s="3"/>
      <c r="F67" s="3"/>
      <c r="G67" s="3"/>
      <c r="H67" s="4"/>
      <c r="I67" s="3"/>
      <c r="J67" s="3"/>
      <c r="K67" s="3"/>
      <c r="L67" s="4"/>
      <c r="M67" s="3"/>
      <c r="N67" s="3"/>
      <c r="O67" s="3"/>
      <c r="P67" s="4"/>
      <c r="Q67" s="3"/>
      <c r="R67" s="3"/>
      <c r="S67" s="3"/>
    </row>
    <row r="68" spans="1:19" ht="12.75">
      <c r="A68" s="5">
        <f t="shared" si="0"/>
        <v>54</v>
      </c>
      <c r="B68" s="8" t="s">
        <v>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>
        <f t="shared" si="0"/>
        <v>55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5">
        <f t="shared" si="0"/>
        <v>56</v>
      </c>
      <c r="B70" s="8" t="s">
        <v>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5">
        <f t="shared" si="0"/>
        <v>57</v>
      </c>
      <c r="C71" s="4"/>
      <c r="D71" s="10"/>
      <c r="E71" s="10"/>
      <c r="F71" s="10"/>
      <c r="G71" s="10"/>
      <c r="H71" s="10"/>
      <c r="I71" s="10"/>
      <c r="J71" s="10"/>
      <c r="K71" s="10"/>
      <c r="L71" s="10"/>
      <c r="M71" s="4"/>
      <c r="N71" s="4"/>
      <c r="O71" s="4"/>
      <c r="P71" s="4"/>
      <c r="Q71" s="4"/>
      <c r="R71" s="4"/>
      <c r="S71" s="4"/>
    </row>
    <row r="72" spans="1:19" ht="12.75">
      <c r="A72" s="5">
        <f t="shared" si="0"/>
        <v>58</v>
      </c>
      <c r="B72" s="8" t="s">
        <v>5</v>
      </c>
      <c r="C72" s="4"/>
      <c r="D72" s="10"/>
      <c r="E72" s="10"/>
      <c r="F72" s="10"/>
      <c r="G72" s="10"/>
      <c r="H72" s="10"/>
      <c r="I72" s="10"/>
      <c r="J72" s="10"/>
      <c r="K72" s="10"/>
      <c r="L72" s="10"/>
      <c r="M72" s="4"/>
      <c r="N72" s="4"/>
      <c r="O72" s="4"/>
      <c r="P72" s="4"/>
      <c r="Q72" s="4"/>
      <c r="R72" s="4"/>
      <c r="S72" s="4"/>
    </row>
    <row r="73" spans="1:19" ht="12.75">
      <c r="A73" s="5">
        <f t="shared" si="0"/>
        <v>59</v>
      </c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5">
        <f t="shared" si="0"/>
        <v>60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5">
        <f t="shared" si="0"/>
        <v>61</v>
      </c>
      <c r="B75" s="7" t="s">
        <v>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5">
        <f t="shared" si="0"/>
        <v>62</v>
      </c>
      <c r="B76" s="7" t="s">
        <v>3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5">
        <f t="shared" si="0"/>
        <v>63</v>
      </c>
      <c r="B77" s="8" t="s">
        <v>399</v>
      </c>
      <c r="C77" s="4">
        <f>SUM(M77:O77)</f>
        <v>450</v>
      </c>
      <c r="D77" s="4">
        <f>SUM(Q77:S77)</f>
        <v>3883</v>
      </c>
      <c r="E77" s="4"/>
      <c r="F77" s="4"/>
      <c r="G77" s="4">
        <f>ROUND(SUM(C77:F77)/2,0)</f>
        <v>2167</v>
      </c>
      <c r="H77" s="4"/>
      <c r="I77" s="4">
        <f>(+M77+Q77)/2</f>
        <v>0</v>
      </c>
      <c r="J77" s="4">
        <f>(+N77+R77)/2</f>
        <v>423</v>
      </c>
      <c r="K77" s="4">
        <f>(+O77+S77)/2</f>
        <v>1743.5</v>
      </c>
      <c r="L77" s="4"/>
      <c r="M77" s="9">
        <v>0</v>
      </c>
      <c r="N77" s="9">
        <v>86</v>
      </c>
      <c r="O77" s="9">
        <v>364</v>
      </c>
      <c r="P77" s="4"/>
      <c r="Q77" s="9">
        <v>0</v>
      </c>
      <c r="R77" s="9">
        <v>760</v>
      </c>
      <c r="S77" s="9">
        <v>3123</v>
      </c>
    </row>
    <row r="78" spans="1:19" ht="12.75">
      <c r="A78" s="5">
        <f t="shared" si="0"/>
        <v>64</v>
      </c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3.5" thickBot="1">
      <c r="A79" s="5">
        <f t="shared" si="0"/>
        <v>65</v>
      </c>
      <c r="B79" s="7" t="s">
        <v>0</v>
      </c>
      <c r="C79" s="6">
        <f>SUM(C77:C78)</f>
        <v>450</v>
      </c>
      <c r="D79" s="6">
        <f>SUM(D77:D78)</f>
        <v>3883</v>
      </c>
      <c r="E79" s="6">
        <f>SUM(E77:E78)</f>
        <v>0</v>
      </c>
      <c r="F79" s="6">
        <f>SUM(F77:F78)</f>
        <v>0</v>
      </c>
      <c r="G79" s="6">
        <f>SUM(G77:G78)</f>
        <v>2167</v>
      </c>
      <c r="H79" s="4"/>
      <c r="I79" s="6">
        <f>SUM(I77:I78)</f>
        <v>0</v>
      </c>
      <c r="J79" s="6">
        <f>SUM(J77:J78)</f>
        <v>423</v>
      </c>
      <c r="K79" s="6">
        <f>SUM(K77:K78)</f>
        <v>1743.5</v>
      </c>
      <c r="L79" s="4"/>
      <c r="M79" s="6">
        <f>SUM(M77:M78)</f>
        <v>0</v>
      </c>
      <c r="N79" s="6">
        <f>SUM(N77:N78)</f>
        <v>86</v>
      </c>
      <c r="O79" s="6">
        <f>SUM(O77:O78)</f>
        <v>364</v>
      </c>
      <c r="P79" s="4"/>
      <c r="Q79" s="6">
        <f>SUM(Q77:Q78)</f>
        <v>0</v>
      </c>
      <c r="R79" s="6">
        <f>SUM(R77:R78)</f>
        <v>760</v>
      </c>
      <c r="S79" s="6">
        <f>SUM(S77:S78)</f>
        <v>3123</v>
      </c>
    </row>
    <row r="80" spans="1:19" ht="13.5" thickTop="1">
      <c r="A80" s="5"/>
      <c r="C80" s="3"/>
      <c r="D80" s="3"/>
      <c r="E80" s="3"/>
      <c r="F80" s="3"/>
      <c r="G80" s="3"/>
      <c r="H80" s="4"/>
      <c r="I80" s="3"/>
      <c r="J80" s="3"/>
      <c r="K80" s="3"/>
      <c r="L80" s="4"/>
      <c r="M80" s="3"/>
      <c r="N80" s="3"/>
      <c r="O80" s="3"/>
      <c r="P80" s="4"/>
      <c r="Q80" s="3"/>
      <c r="R80" s="3"/>
      <c r="S80" s="3"/>
    </row>
  </sheetData>
  <sheetProtection/>
  <printOptions/>
  <pageMargins left="0.75" right="0.25" top="0.5" bottom="0.5" header="0.25" footer="0.25"/>
  <pageSetup horizontalDpi="600" verticalDpi="600" orientation="portrait" scale="65" r:id="rId3"/>
  <headerFooter alignWithMargins="0">
    <oddHeader>&amp;RSTATEMENT AF
PAGE &amp;P OF &amp;N</oddHeader>
  </headerFooter>
  <colBreaks count="3" manualBreakCount="3">
    <brk id="7" min="14" max="69" man="1"/>
    <brk id="11" min="14" max="69" man="1"/>
    <brk id="15" min="14" max="6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1"/>
  <sheetViews>
    <sheetView showOutlineSymbols="0" zoomScaleSheetLayoutView="8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12.7109375" defaultRowHeight="12.75"/>
  <cols>
    <col min="1" max="1" width="4.7109375" style="2" customWidth="1"/>
    <col min="2" max="2" width="54.710937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26" t="s">
        <v>456</v>
      </c>
      <c r="G1" s="7"/>
      <c r="H1" s="7"/>
      <c r="I1" s="7"/>
      <c r="J1" s="7"/>
      <c r="K1" s="7"/>
      <c r="L1" s="7"/>
      <c r="S1" s="24"/>
    </row>
    <row r="2" spans="2:12" ht="12.75">
      <c r="B2" s="26" t="s">
        <v>182</v>
      </c>
      <c r="G2" s="8"/>
      <c r="H2" s="8"/>
      <c r="I2" s="8"/>
      <c r="J2" s="8"/>
      <c r="K2" s="8"/>
      <c r="L2" s="8"/>
    </row>
    <row r="3" ht="12.75">
      <c r="B3" s="54" t="s">
        <v>458</v>
      </c>
    </row>
    <row r="4" ht="12.75">
      <c r="B4" s="5"/>
    </row>
    <row r="5" ht="12.75">
      <c r="B5" s="24"/>
    </row>
    <row r="6" spans="7:12" ht="12.75">
      <c r="G6" s="25" t="s">
        <v>183</v>
      </c>
      <c r="H6" s="25"/>
      <c r="I6" s="25"/>
      <c r="J6" s="25"/>
      <c r="K6" s="25"/>
      <c r="L6" s="25"/>
    </row>
    <row r="8" spans="2:19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/>
      <c r="M8" s="18" t="s">
        <v>168</v>
      </c>
      <c r="N8" s="55" t="s">
        <v>167</v>
      </c>
      <c r="O8" s="55" t="s">
        <v>166</v>
      </c>
      <c r="Q8" s="18" t="s">
        <v>165</v>
      </c>
      <c r="R8" s="55" t="s">
        <v>164</v>
      </c>
      <c r="S8" s="55" t="s">
        <v>163</v>
      </c>
    </row>
    <row r="10" spans="3:19" ht="12.75">
      <c r="C10" s="21" t="s">
        <v>162</v>
      </c>
      <c r="D10" s="21"/>
      <c r="E10" s="23" t="s">
        <v>161</v>
      </c>
      <c r="F10" s="21"/>
      <c r="G10" s="19" t="s">
        <v>160</v>
      </c>
      <c r="H10" s="19"/>
      <c r="I10" s="22" t="s">
        <v>159</v>
      </c>
      <c r="J10" s="21"/>
      <c r="K10" s="21"/>
      <c r="L10" s="19"/>
      <c r="M10" s="36" t="s">
        <v>158</v>
      </c>
      <c r="N10" s="21"/>
      <c r="O10" s="21"/>
      <c r="Q10" s="36" t="s">
        <v>157</v>
      </c>
      <c r="R10" s="21"/>
      <c r="S10" s="21"/>
    </row>
    <row r="11" spans="3:19" ht="12.75">
      <c r="C11" s="20"/>
      <c r="D11" s="20"/>
      <c r="G11" s="19" t="s">
        <v>156</v>
      </c>
      <c r="H11" s="19"/>
      <c r="I11" s="20"/>
      <c r="J11" s="20"/>
      <c r="K11" s="20"/>
      <c r="L11" s="19"/>
      <c r="M11" s="20"/>
      <c r="N11" s="20"/>
      <c r="O11" s="20"/>
      <c r="Q11" s="20"/>
      <c r="R11" s="20"/>
      <c r="S11" s="20"/>
    </row>
    <row r="12" spans="3:12" ht="12.75">
      <c r="C12" s="19" t="s">
        <v>155</v>
      </c>
      <c r="D12" s="19" t="s">
        <v>155</v>
      </c>
      <c r="E12" s="19" t="s">
        <v>155</v>
      </c>
      <c r="F12" s="19" t="s">
        <v>155</v>
      </c>
      <c r="G12" s="19" t="s">
        <v>154</v>
      </c>
      <c r="H12" s="19"/>
      <c r="L12" s="19"/>
    </row>
    <row r="13" spans="2:19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D13</f>
        <v>OF 12-31-14</v>
      </c>
      <c r="G13" s="18" t="s">
        <v>150</v>
      </c>
      <c r="H13" s="18"/>
      <c r="I13" s="18" t="s">
        <v>149</v>
      </c>
      <c r="J13" s="18" t="s">
        <v>148</v>
      </c>
      <c r="K13" s="18" t="s">
        <v>147</v>
      </c>
      <c r="L13" s="18"/>
      <c r="M13" s="18" t="s">
        <v>149</v>
      </c>
      <c r="N13" s="55" t="s">
        <v>148</v>
      </c>
      <c r="O13" s="55" t="s">
        <v>147</v>
      </c>
      <c r="Q13" s="18" t="s">
        <v>149</v>
      </c>
      <c r="R13" s="55" t="s">
        <v>148</v>
      </c>
      <c r="S13" s="55" t="s">
        <v>147</v>
      </c>
    </row>
    <row r="15" spans="1:25" ht="12.75">
      <c r="A15" s="38">
        <f>1</f>
        <v>1</v>
      </c>
      <c r="B15" s="11" t="s">
        <v>184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P15" s="4"/>
      <c r="Q15" s="4"/>
      <c r="T15" s="4"/>
      <c r="U15" s="4"/>
      <c r="V15" s="4"/>
      <c r="W15" s="4"/>
      <c r="X15" s="4"/>
      <c r="Y15" s="4"/>
    </row>
    <row r="16" spans="1:25" ht="12.75">
      <c r="A16" s="38">
        <f aca="true" t="shared" si="0" ref="A16:A51">A15+1</f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4"/>
      <c r="Q16" s="4"/>
      <c r="T16" s="4"/>
      <c r="U16" s="4"/>
      <c r="V16" s="4"/>
      <c r="W16" s="4"/>
      <c r="X16" s="4"/>
      <c r="Y16" s="4"/>
    </row>
    <row r="17" spans="1:25" ht="12.75">
      <c r="A17" s="38">
        <f t="shared" si="0"/>
        <v>3</v>
      </c>
      <c r="B17" s="13" t="s">
        <v>185</v>
      </c>
      <c r="C17" s="4">
        <f aca="true" t="shared" si="1" ref="C17:C30">SUM(M17:O17)</f>
        <v>23858</v>
      </c>
      <c r="D17" s="4">
        <f>SUM(Q17:S17)</f>
        <v>26359</v>
      </c>
      <c r="E17" s="4"/>
      <c r="F17" s="4"/>
      <c r="G17" s="4">
        <f aca="true" t="shared" si="2" ref="G17:G30">ROUND(SUM(C17:F17)/2,0)</f>
        <v>25109</v>
      </c>
      <c r="H17" s="4"/>
      <c r="I17" s="4">
        <f>(M17+Q17)/2</f>
        <v>0</v>
      </c>
      <c r="J17" s="4">
        <f>(N17+R17)/2</f>
        <v>10965.5</v>
      </c>
      <c r="K17" s="4">
        <f>(O17+S17)/2</f>
        <v>14143</v>
      </c>
      <c r="L17" s="4"/>
      <c r="M17" s="56">
        <v>0</v>
      </c>
      <c r="N17" s="14">
        <v>11047</v>
      </c>
      <c r="O17" s="14">
        <v>12811</v>
      </c>
      <c r="P17" s="4"/>
      <c r="Q17" s="56">
        <v>0</v>
      </c>
      <c r="R17" s="56">
        <v>10884</v>
      </c>
      <c r="S17" s="56">
        <v>15475</v>
      </c>
      <c r="T17" s="4"/>
      <c r="U17" s="4"/>
      <c r="V17" s="4"/>
      <c r="W17" s="4"/>
      <c r="X17" s="4"/>
      <c r="Y17" s="4"/>
    </row>
    <row r="18" spans="1:25" ht="12.75">
      <c r="A18" s="38">
        <f t="shared" si="0"/>
        <v>4</v>
      </c>
      <c r="B18" s="4" t="s">
        <v>403</v>
      </c>
      <c r="C18" s="4">
        <f t="shared" si="1"/>
        <v>433651.61</v>
      </c>
      <c r="D18" s="4">
        <f>SUM(Q18:S18)</f>
        <v>344288.17</v>
      </c>
      <c r="E18" s="4"/>
      <c r="F18" s="4"/>
      <c r="G18" s="4">
        <f>ROUND(SUM(C18:F18)/2,0)</f>
        <v>388970</v>
      </c>
      <c r="H18" s="4"/>
      <c r="I18" s="4">
        <f aca="true" t="shared" si="3" ref="I18:K43">(M18+Q18)/2</f>
        <v>0</v>
      </c>
      <c r="J18" s="4">
        <f t="shared" si="3"/>
        <v>17819.025</v>
      </c>
      <c r="K18" s="4">
        <f t="shared" si="3"/>
        <v>371150.865</v>
      </c>
      <c r="L18" s="4"/>
      <c r="M18" s="56">
        <v>0</v>
      </c>
      <c r="N18" s="14">
        <v>16246.3</v>
      </c>
      <c r="O18" s="14">
        <v>417405.31</v>
      </c>
      <c r="P18" s="4"/>
      <c r="Q18" s="56">
        <v>0</v>
      </c>
      <c r="R18" s="56">
        <v>19391.75</v>
      </c>
      <c r="S18" s="56">
        <v>324896.42</v>
      </c>
      <c r="T18" s="4"/>
      <c r="U18" s="4"/>
      <c r="V18" s="4"/>
      <c r="W18" s="4"/>
      <c r="X18" s="4"/>
      <c r="Y18" s="4"/>
    </row>
    <row r="19" spans="1:25" ht="12.75">
      <c r="A19" s="38">
        <f t="shared" si="0"/>
        <v>5</v>
      </c>
      <c r="B19" s="11" t="s">
        <v>186</v>
      </c>
      <c r="C19" s="4">
        <f t="shared" si="1"/>
        <v>0</v>
      </c>
      <c r="D19" s="4">
        <f aca="true" t="shared" si="4" ref="D19:D25">SUM(Q19:S19)</f>
        <v>0</v>
      </c>
      <c r="E19" s="4"/>
      <c r="F19" s="4"/>
      <c r="G19" s="4">
        <f>ROUND(SUM(C19:F19)/2,0)</f>
        <v>0</v>
      </c>
      <c r="H19" s="4"/>
      <c r="I19" s="4">
        <f t="shared" si="3"/>
        <v>0</v>
      </c>
      <c r="J19" s="4">
        <f t="shared" si="3"/>
        <v>0</v>
      </c>
      <c r="K19" s="4">
        <f t="shared" si="3"/>
        <v>0</v>
      </c>
      <c r="L19" s="4"/>
      <c r="M19" s="56">
        <v>0</v>
      </c>
      <c r="N19" s="14">
        <v>0</v>
      </c>
      <c r="O19" s="14">
        <v>0</v>
      </c>
      <c r="P19" s="4"/>
      <c r="Q19" s="56">
        <v>0</v>
      </c>
      <c r="R19" s="56">
        <v>0</v>
      </c>
      <c r="S19" s="56">
        <v>0</v>
      </c>
      <c r="T19" s="4"/>
      <c r="U19" s="4"/>
      <c r="V19" s="4"/>
      <c r="W19" s="4"/>
      <c r="X19" s="4"/>
      <c r="Y19" s="4"/>
    </row>
    <row r="20" spans="1:25" ht="12.75">
      <c r="A20" s="38">
        <f t="shared" si="0"/>
        <v>6</v>
      </c>
      <c r="B20" s="11" t="s">
        <v>459</v>
      </c>
      <c r="C20" s="4">
        <f t="shared" si="1"/>
        <v>0</v>
      </c>
      <c r="D20" s="4">
        <f t="shared" si="4"/>
        <v>0.37</v>
      </c>
      <c r="E20" s="4"/>
      <c r="F20" s="4"/>
      <c r="G20" s="4">
        <f>ROUND(SUM(C20:F20)/2,0)</f>
        <v>0</v>
      </c>
      <c r="H20" s="4"/>
      <c r="I20" s="4">
        <f t="shared" si="3"/>
        <v>0</v>
      </c>
      <c r="J20" s="4">
        <f t="shared" si="3"/>
        <v>0.005</v>
      </c>
      <c r="K20" s="4">
        <f t="shared" si="3"/>
        <v>0.18</v>
      </c>
      <c r="L20" s="4"/>
      <c r="M20" s="56">
        <v>0</v>
      </c>
      <c r="N20" s="14">
        <v>0</v>
      </c>
      <c r="O20" s="14">
        <v>0</v>
      </c>
      <c r="P20" s="4"/>
      <c r="Q20" s="56">
        <v>0</v>
      </c>
      <c r="R20" s="56">
        <v>0.01</v>
      </c>
      <c r="S20" s="56">
        <v>0.36</v>
      </c>
      <c r="T20" s="4"/>
      <c r="U20" s="4"/>
      <c r="V20" s="4"/>
      <c r="W20" s="4"/>
      <c r="X20" s="4"/>
      <c r="Y20" s="4"/>
    </row>
    <row r="21" spans="1:25" ht="12.75">
      <c r="A21" s="38">
        <f t="shared" si="0"/>
        <v>7</v>
      </c>
      <c r="B21" s="4" t="s">
        <v>87</v>
      </c>
      <c r="C21" s="4">
        <f t="shared" si="1"/>
        <v>-1338425.41</v>
      </c>
      <c r="D21" s="4">
        <f t="shared" si="4"/>
        <v>-1403241.4400000002</v>
      </c>
      <c r="E21" s="4"/>
      <c r="F21" s="4"/>
      <c r="G21" s="4">
        <f t="shared" si="2"/>
        <v>-1370833</v>
      </c>
      <c r="H21" s="4"/>
      <c r="I21" s="4">
        <f t="shared" si="3"/>
        <v>0</v>
      </c>
      <c r="J21" s="4">
        <f t="shared" si="3"/>
        <v>-183513.41499999998</v>
      </c>
      <c r="K21" s="4">
        <f t="shared" si="3"/>
        <v>-1187320.01</v>
      </c>
      <c r="L21" s="4"/>
      <c r="M21" s="56">
        <v>0</v>
      </c>
      <c r="N21" s="14">
        <v>-174966.49</v>
      </c>
      <c r="O21" s="14">
        <v>-1163458.92</v>
      </c>
      <c r="P21" s="4"/>
      <c r="Q21" s="56">
        <v>0</v>
      </c>
      <c r="R21" s="56">
        <v>-192060.34</v>
      </c>
      <c r="S21" s="56">
        <v>-1211181.1</v>
      </c>
      <c r="T21" s="4"/>
      <c r="U21" s="4"/>
      <c r="V21" s="4"/>
      <c r="W21" s="4"/>
      <c r="X21" s="4"/>
      <c r="Y21" s="4"/>
    </row>
    <row r="22" spans="1:25" ht="12.75">
      <c r="A22" s="38">
        <f t="shared" si="0"/>
        <v>8</v>
      </c>
      <c r="B22" s="13" t="s">
        <v>202</v>
      </c>
      <c r="C22" s="4">
        <f t="shared" si="1"/>
        <v>0.36</v>
      </c>
      <c r="D22" s="4">
        <f>SUM(Q22:S22)</f>
        <v>0</v>
      </c>
      <c r="E22" s="4"/>
      <c r="F22" s="4"/>
      <c r="G22" s="4">
        <f>ROUND(SUM(C22:F22)/2,0)</f>
        <v>0</v>
      </c>
      <c r="H22" s="4"/>
      <c r="I22" s="4">
        <f t="shared" si="3"/>
        <v>0</v>
      </c>
      <c r="J22" s="4">
        <f t="shared" si="3"/>
        <v>0</v>
      </c>
      <c r="K22" s="4">
        <f t="shared" si="3"/>
        <v>0.18</v>
      </c>
      <c r="L22" s="4"/>
      <c r="M22" s="56">
        <v>0</v>
      </c>
      <c r="N22" s="14">
        <v>0</v>
      </c>
      <c r="O22" s="14">
        <v>0.36</v>
      </c>
      <c r="P22" s="4"/>
      <c r="Q22" s="56">
        <v>0</v>
      </c>
      <c r="R22" s="56">
        <v>0</v>
      </c>
      <c r="S22" s="56">
        <v>0</v>
      </c>
      <c r="T22" s="4"/>
      <c r="U22" s="4"/>
      <c r="V22" s="4"/>
      <c r="W22" s="4"/>
      <c r="X22" s="4"/>
      <c r="Y22" s="4"/>
    </row>
    <row r="23" spans="1:25" ht="12.75">
      <c r="A23" s="38">
        <f t="shared" si="0"/>
        <v>9</v>
      </c>
      <c r="B23" s="4" t="s">
        <v>208</v>
      </c>
      <c r="C23" s="4">
        <f t="shared" si="1"/>
        <v>142536.63</v>
      </c>
      <c r="D23" s="4">
        <f t="shared" si="4"/>
        <v>110086.45</v>
      </c>
      <c r="E23" s="4"/>
      <c r="F23" s="4"/>
      <c r="G23" s="4">
        <f t="shared" si="2"/>
        <v>126312</v>
      </c>
      <c r="H23" s="4"/>
      <c r="I23" s="4">
        <f t="shared" si="3"/>
        <v>0</v>
      </c>
      <c r="J23" s="4">
        <f t="shared" si="3"/>
        <v>-5629.415</v>
      </c>
      <c r="K23" s="4">
        <f t="shared" si="3"/>
        <v>131940.95500000002</v>
      </c>
      <c r="L23" s="4"/>
      <c r="M23" s="56">
        <v>0</v>
      </c>
      <c r="N23" s="14">
        <v>-12521.56</v>
      </c>
      <c r="O23" s="14">
        <v>155058.19</v>
      </c>
      <c r="P23" s="4"/>
      <c r="Q23" s="56">
        <v>0</v>
      </c>
      <c r="R23" s="56">
        <v>1262.73</v>
      </c>
      <c r="S23" s="56">
        <v>108823.72</v>
      </c>
      <c r="T23" s="4"/>
      <c r="U23" s="4"/>
      <c r="V23" s="4"/>
      <c r="W23" s="4"/>
      <c r="X23" s="4"/>
      <c r="Y23" s="4"/>
    </row>
    <row r="24" spans="1:25" ht="12.75">
      <c r="A24" s="38">
        <f t="shared" si="0"/>
        <v>10</v>
      </c>
      <c r="B24" s="4" t="s">
        <v>210</v>
      </c>
      <c r="C24" s="4">
        <f t="shared" si="1"/>
        <v>63148.909999999996</v>
      </c>
      <c r="D24" s="4">
        <f t="shared" si="4"/>
        <v>75461.05</v>
      </c>
      <c r="E24" s="4"/>
      <c r="F24" s="4"/>
      <c r="G24" s="4">
        <f t="shared" si="2"/>
        <v>69305</v>
      </c>
      <c r="H24" s="4"/>
      <c r="I24" s="4">
        <f t="shared" si="3"/>
        <v>0</v>
      </c>
      <c r="J24" s="4">
        <f t="shared" si="3"/>
        <v>-3798.425</v>
      </c>
      <c r="K24" s="4">
        <f t="shared" si="3"/>
        <v>73103.405</v>
      </c>
      <c r="L24" s="4"/>
      <c r="M24" s="56">
        <v>0</v>
      </c>
      <c r="N24" s="14">
        <v>-8858.85</v>
      </c>
      <c r="O24" s="14">
        <v>72007.76</v>
      </c>
      <c r="P24" s="4"/>
      <c r="Q24" s="56">
        <v>0</v>
      </c>
      <c r="R24" s="56">
        <v>1262</v>
      </c>
      <c r="S24" s="56">
        <v>74199.05</v>
      </c>
      <c r="T24" s="4"/>
      <c r="U24" s="4"/>
      <c r="V24" s="4"/>
      <c r="W24" s="4"/>
      <c r="X24" s="4"/>
      <c r="Y24" s="4"/>
    </row>
    <row r="25" spans="1:25" ht="12.75">
      <c r="A25" s="38">
        <f t="shared" si="0"/>
        <v>11</v>
      </c>
      <c r="B25" s="11" t="s">
        <v>460</v>
      </c>
      <c r="C25" s="4">
        <f t="shared" si="1"/>
        <v>0</v>
      </c>
      <c r="D25" s="4">
        <f t="shared" si="4"/>
        <v>0</v>
      </c>
      <c r="E25" s="4"/>
      <c r="F25" s="4"/>
      <c r="G25" s="4">
        <f>ROUND(SUM(C25:F25)/2,0)</f>
        <v>0</v>
      </c>
      <c r="H25" s="4"/>
      <c r="I25" s="4">
        <f t="shared" si="3"/>
        <v>0</v>
      </c>
      <c r="J25" s="4">
        <f t="shared" si="3"/>
        <v>0</v>
      </c>
      <c r="K25" s="4">
        <f t="shared" si="3"/>
        <v>0</v>
      </c>
      <c r="L25" s="4"/>
      <c r="M25" s="56">
        <v>0</v>
      </c>
      <c r="N25" s="14">
        <v>0</v>
      </c>
      <c r="O25" s="14">
        <v>0</v>
      </c>
      <c r="P25" s="4"/>
      <c r="Q25" s="56">
        <v>0</v>
      </c>
      <c r="R25" s="56">
        <v>0</v>
      </c>
      <c r="S25" s="56">
        <v>0</v>
      </c>
      <c r="T25" s="4"/>
      <c r="U25" s="4"/>
      <c r="V25" s="4"/>
      <c r="W25" s="4"/>
      <c r="X25" s="4"/>
      <c r="Y25" s="4"/>
    </row>
    <row r="26" spans="1:25" ht="12.75">
      <c r="A26" s="38">
        <f t="shared" si="0"/>
        <v>12</v>
      </c>
      <c r="B26" s="4" t="s">
        <v>213</v>
      </c>
      <c r="C26" s="4">
        <f t="shared" si="1"/>
        <v>0</v>
      </c>
      <c r="D26" s="4">
        <f aca="true" t="shared" si="5" ref="D26:D41">SUM(Q26:S26)</f>
        <v>-0.09000000000000008</v>
      </c>
      <c r="E26" s="4"/>
      <c r="F26" s="4"/>
      <c r="G26" s="4">
        <f t="shared" si="2"/>
        <v>0</v>
      </c>
      <c r="H26" s="4"/>
      <c r="I26" s="4">
        <f t="shared" si="3"/>
        <v>0</v>
      </c>
      <c r="J26" s="4">
        <f t="shared" si="3"/>
        <v>0</v>
      </c>
      <c r="K26" s="4">
        <f t="shared" si="3"/>
        <v>-0.04500000000000004</v>
      </c>
      <c r="L26" s="4"/>
      <c r="M26" s="56">
        <v>0</v>
      </c>
      <c r="N26" s="14">
        <v>0</v>
      </c>
      <c r="O26" s="14">
        <v>0</v>
      </c>
      <c r="P26" s="4"/>
      <c r="Q26" s="56">
        <v>0</v>
      </c>
      <c r="R26" s="56">
        <f>1-1</f>
        <v>0</v>
      </c>
      <c r="S26" s="56">
        <f>-1.09+1</f>
        <v>-0.09000000000000008</v>
      </c>
      <c r="T26" s="4"/>
      <c r="U26" s="4"/>
      <c r="V26" s="4"/>
      <c r="W26" s="4"/>
      <c r="X26" s="4"/>
      <c r="Y26" s="4"/>
    </row>
    <row r="27" spans="1:25" ht="12.75">
      <c r="A27" s="38">
        <f t="shared" si="0"/>
        <v>13</v>
      </c>
      <c r="B27" s="57" t="s">
        <v>214</v>
      </c>
      <c r="C27" s="4">
        <f t="shared" si="1"/>
        <v>-169.25</v>
      </c>
      <c r="D27" s="4">
        <f t="shared" si="5"/>
        <v>-169.25</v>
      </c>
      <c r="E27" s="4"/>
      <c r="F27" s="4"/>
      <c r="G27" s="4">
        <f>ROUND(SUM(C27:F27)/2,0)</f>
        <v>-169</v>
      </c>
      <c r="H27" s="4"/>
      <c r="I27" s="4">
        <f t="shared" si="3"/>
        <v>0</v>
      </c>
      <c r="J27" s="4">
        <f t="shared" si="3"/>
        <v>766.3000000000002</v>
      </c>
      <c r="K27" s="4">
        <f t="shared" si="3"/>
        <v>-935.5500000000002</v>
      </c>
      <c r="L27" s="4"/>
      <c r="M27" s="56">
        <v>0</v>
      </c>
      <c r="N27" s="14">
        <v>766.3000000000002</v>
      </c>
      <c r="O27" s="14">
        <v>-935.5500000000002</v>
      </c>
      <c r="P27" s="4"/>
      <c r="Q27" s="56">
        <v>0</v>
      </c>
      <c r="R27" s="56">
        <f>-5523.7+6290</f>
        <v>766.3000000000002</v>
      </c>
      <c r="S27" s="56">
        <f>-6969.55+6034</f>
        <v>-935.5500000000002</v>
      </c>
      <c r="T27" s="4"/>
      <c r="U27" s="4"/>
      <c r="V27" s="4"/>
      <c r="W27" s="4"/>
      <c r="X27" s="4"/>
      <c r="Y27" s="4"/>
    </row>
    <row r="28" spans="1:25" ht="12.75">
      <c r="A28" s="38">
        <f t="shared" si="0"/>
        <v>14</v>
      </c>
      <c r="B28" s="57" t="s">
        <v>215</v>
      </c>
      <c r="C28" s="4">
        <f t="shared" si="1"/>
        <v>0</v>
      </c>
      <c r="D28" s="4">
        <f t="shared" si="5"/>
        <v>0.5</v>
      </c>
      <c r="E28" s="4"/>
      <c r="F28" s="4"/>
      <c r="G28" s="4">
        <f>ROUND(SUM(C28:F28)/2,0)</f>
        <v>0</v>
      </c>
      <c r="H28" s="4"/>
      <c r="I28" s="4">
        <f t="shared" si="3"/>
        <v>0</v>
      </c>
      <c r="J28" s="4">
        <f t="shared" si="3"/>
        <v>0.25</v>
      </c>
      <c r="K28" s="4">
        <f t="shared" si="3"/>
        <v>0</v>
      </c>
      <c r="L28" s="4"/>
      <c r="M28" s="56">
        <v>0</v>
      </c>
      <c r="N28" s="14">
        <v>0</v>
      </c>
      <c r="O28" s="14">
        <v>0</v>
      </c>
      <c r="P28" s="4"/>
      <c r="Q28" s="56">
        <v>0</v>
      </c>
      <c r="R28" s="56">
        <f>80.5-80</f>
        <v>0.5</v>
      </c>
      <c r="S28" s="56">
        <v>0</v>
      </c>
      <c r="T28" s="4"/>
      <c r="U28" s="4"/>
      <c r="V28" s="4"/>
      <c r="W28" s="4"/>
      <c r="X28" s="4"/>
      <c r="Y28" s="4"/>
    </row>
    <row r="29" spans="1:25" ht="12.75">
      <c r="A29" s="38">
        <f t="shared" si="0"/>
        <v>15</v>
      </c>
      <c r="B29" s="4" t="s">
        <v>216</v>
      </c>
      <c r="C29" s="4">
        <f t="shared" si="1"/>
        <v>-27866.119999999995</v>
      </c>
      <c r="D29" s="4">
        <f t="shared" si="5"/>
        <v>-27866.119999999995</v>
      </c>
      <c r="E29" s="4"/>
      <c r="F29" s="4"/>
      <c r="G29" s="4">
        <f t="shared" si="2"/>
        <v>-27866</v>
      </c>
      <c r="H29" s="4"/>
      <c r="I29" s="4">
        <f t="shared" si="3"/>
        <v>0</v>
      </c>
      <c r="J29" s="4">
        <f t="shared" si="3"/>
        <v>72739.8</v>
      </c>
      <c r="K29" s="4">
        <f t="shared" si="3"/>
        <v>-100605.92</v>
      </c>
      <c r="L29" s="4"/>
      <c r="M29" s="56">
        <v>0</v>
      </c>
      <c r="N29" s="14">
        <v>72739.8</v>
      </c>
      <c r="O29" s="14">
        <v>-100605.92</v>
      </c>
      <c r="P29" s="4"/>
      <c r="Q29" s="56">
        <v>0</v>
      </c>
      <c r="R29" s="56">
        <v>72739.8</v>
      </c>
      <c r="S29" s="56">
        <v>-100605.92</v>
      </c>
      <c r="T29" s="4"/>
      <c r="U29" s="4"/>
      <c r="V29" s="4"/>
      <c r="W29" s="4"/>
      <c r="X29" s="4"/>
      <c r="Y29" s="4"/>
    </row>
    <row r="30" spans="1:25" ht="12.75">
      <c r="A30" s="38">
        <f t="shared" si="0"/>
        <v>16</v>
      </c>
      <c r="B30" s="4" t="s">
        <v>218</v>
      </c>
      <c r="C30" s="4">
        <f t="shared" si="1"/>
        <v>7780.84</v>
      </c>
      <c r="D30" s="4">
        <f t="shared" si="5"/>
        <v>7780.84</v>
      </c>
      <c r="E30" s="4"/>
      <c r="F30" s="4"/>
      <c r="G30" s="4">
        <f t="shared" si="2"/>
        <v>7781</v>
      </c>
      <c r="H30" s="4"/>
      <c r="I30" s="4">
        <f t="shared" si="3"/>
        <v>0</v>
      </c>
      <c r="J30" s="4">
        <f t="shared" si="3"/>
        <v>7780.84</v>
      </c>
      <c r="K30" s="4">
        <f t="shared" si="3"/>
        <v>0</v>
      </c>
      <c r="L30" s="4"/>
      <c r="M30" s="56">
        <v>0</v>
      </c>
      <c r="N30" s="14">
        <v>7780.84</v>
      </c>
      <c r="O30" s="14">
        <v>0</v>
      </c>
      <c r="P30" s="4"/>
      <c r="Q30" s="56">
        <v>0</v>
      </c>
      <c r="R30" s="56">
        <v>7780.84</v>
      </c>
      <c r="S30" s="56">
        <v>0</v>
      </c>
      <c r="T30" s="4"/>
      <c r="U30" s="4"/>
      <c r="V30" s="4"/>
      <c r="W30" s="4"/>
      <c r="X30" s="4"/>
      <c r="Y30" s="4"/>
    </row>
    <row r="31" spans="1:25" ht="12.75">
      <c r="A31" s="38">
        <f t="shared" si="0"/>
        <v>17</v>
      </c>
      <c r="B31" s="4" t="s">
        <v>234</v>
      </c>
      <c r="C31" s="4">
        <f aca="true" t="shared" si="6" ref="C31:C37">SUM(M31:O31)</f>
        <v>29206.04</v>
      </c>
      <c r="D31" s="4">
        <f t="shared" si="5"/>
        <v>34300.48</v>
      </c>
      <c r="E31" s="4"/>
      <c r="F31" s="4"/>
      <c r="G31" s="4">
        <f aca="true" t="shared" si="7" ref="G31:G41">ROUND(SUM(C31:F31)/2,0)</f>
        <v>31753</v>
      </c>
      <c r="H31" s="4"/>
      <c r="I31" s="4">
        <f t="shared" si="3"/>
        <v>0</v>
      </c>
      <c r="J31" s="4">
        <f t="shared" si="3"/>
        <v>0</v>
      </c>
      <c r="K31" s="4">
        <f t="shared" si="3"/>
        <v>31753.260000000002</v>
      </c>
      <c r="L31" s="4"/>
      <c r="M31" s="56">
        <v>0</v>
      </c>
      <c r="N31" s="14">
        <v>0</v>
      </c>
      <c r="O31" s="14">
        <v>29206.04</v>
      </c>
      <c r="P31" s="4"/>
      <c r="Q31" s="56">
        <v>0</v>
      </c>
      <c r="R31" s="56">
        <v>0</v>
      </c>
      <c r="S31" s="56">
        <v>34300.48</v>
      </c>
      <c r="T31" s="4"/>
      <c r="U31" s="4"/>
      <c r="V31" s="4"/>
      <c r="W31" s="4"/>
      <c r="X31" s="4"/>
      <c r="Y31" s="4"/>
    </row>
    <row r="32" spans="1:25" ht="12.75">
      <c r="A32" s="38">
        <f t="shared" si="0"/>
        <v>18</v>
      </c>
      <c r="B32" s="4" t="s">
        <v>238</v>
      </c>
      <c r="C32" s="4">
        <f t="shared" si="6"/>
        <v>-388.23</v>
      </c>
      <c r="D32" s="4">
        <f t="shared" si="5"/>
        <v>-28.430000000000007</v>
      </c>
      <c r="E32" s="4"/>
      <c r="F32" s="4"/>
      <c r="G32" s="4">
        <f t="shared" si="7"/>
        <v>-208</v>
      </c>
      <c r="H32" s="4"/>
      <c r="I32" s="4">
        <f t="shared" si="3"/>
        <v>0</v>
      </c>
      <c r="J32" s="4">
        <f t="shared" si="3"/>
        <v>-500.5</v>
      </c>
      <c r="K32" s="4">
        <f t="shared" si="3"/>
        <v>292.17</v>
      </c>
      <c r="L32" s="4"/>
      <c r="M32" s="56">
        <v>0</v>
      </c>
      <c r="N32" s="14">
        <v>-500.5</v>
      </c>
      <c r="O32" s="14">
        <v>112.27</v>
      </c>
      <c r="P32" s="4"/>
      <c r="Q32" s="56">
        <v>0</v>
      </c>
      <c r="R32" s="56">
        <v>-500.5</v>
      </c>
      <c r="S32" s="56">
        <v>472.07</v>
      </c>
      <c r="T32" s="4"/>
      <c r="U32" s="4"/>
      <c r="V32" s="4"/>
      <c r="W32" s="4"/>
      <c r="X32" s="4"/>
      <c r="Y32" s="4"/>
    </row>
    <row r="33" spans="1:25" ht="12.75">
      <c r="A33" s="38">
        <f t="shared" si="0"/>
        <v>19</v>
      </c>
      <c r="B33" s="11" t="s">
        <v>23</v>
      </c>
      <c r="C33" s="4">
        <f>SUM(M33:O33)</f>
        <v>-39291.35</v>
      </c>
      <c r="D33" s="4">
        <f>SUM(Q33:S33)</f>
        <v>-53121.6</v>
      </c>
      <c r="E33" s="4"/>
      <c r="F33" s="4"/>
      <c r="G33" s="4">
        <f>ROUND(SUM(C33:F33)/2,0)</f>
        <v>-46206</v>
      </c>
      <c r="H33" s="4"/>
      <c r="I33" s="4">
        <f t="shared" si="3"/>
        <v>0</v>
      </c>
      <c r="J33" s="4">
        <f t="shared" si="3"/>
        <v>-6901.3</v>
      </c>
      <c r="K33" s="4">
        <f t="shared" si="3"/>
        <v>-39305.175</v>
      </c>
      <c r="L33" s="4"/>
      <c r="M33" s="56">
        <v>0</v>
      </c>
      <c r="N33" s="14">
        <v>-6933.5</v>
      </c>
      <c r="O33" s="14">
        <v>-32357.85</v>
      </c>
      <c r="P33" s="4"/>
      <c r="Q33" s="56">
        <v>0</v>
      </c>
      <c r="R33" s="56">
        <v>-6869.1</v>
      </c>
      <c r="S33" s="56">
        <v>-46252.5</v>
      </c>
      <c r="T33" s="4"/>
      <c r="U33" s="4"/>
      <c r="V33" s="4"/>
      <c r="W33" s="4"/>
      <c r="X33" s="4"/>
      <c r="Y33" s="4"/>
    </row>
    <row r="34" spans="1:25" ht="12.75">
      <c r="A34" s="38">
        <f t="shared" si="0"/>
        <v>20</v>
      </c>
      <c r="B34" s="4" t="s">
        <v>240</v>
      </c>
      <c r="C34" s="4">
        <f t="shared" si="6"/>
        <v>-203935.94</v>
      </c>
      <c r="D34" s="4">
        <f t="shared" si="5"/>
        <v>-98805.47</v>
      </c>
      <c r="E34" s="4"/>
      <c r="F34" s="4"/>
      <c r="G34" s="4">
        <f t="shared" si="7"/>
        <v>-151371</v>
      </c>
      <c r="H34" s="4"/>
      <c r="I34" s="4">
        <f t="shared" si="3"/>
        <v>0</v>
      </c>
      <c r="J34" s="4">
        <f t="shared" si="3"/>
        <v>-31831.55</v>
      </c>
      <c r="K34" s="4">
        <f t="shared" si="3"/>
        <v>-119539.155</v>
      </c>
      <c r="L34" s="4"/>
      <c r="M34" s="56">
        <v>0</v>
      </c>
      <c r="N34" s="14">
        <v>-45284.03</v>
      </c>
      <c r="O34" s="14">
        <v>-158651.91</v>
      </c>
      <c r="P34" s="4"/>
      <c r="Q34" s="56">
        <v>0</v>
      </c>
      <c r="R34" s="56">
        <v>-18379.07</v>
      </c>
      <c r="S34" s="56">
        <v>-80426.4</v>
      </c>
      <c r="T34" s="4"/>
      <c r="U34" s="4"/>
      <c r="V34" s="4"/>
      <c r="W34" s="4"/>
      <c r="X34" s="4"/>
      <c r="Y34" s="4"/>
    </row>
    <row r="35" spans="1:25" ht="12.75">
      <c r="A35" s="38">
        <f t="shared" si="0"/>
        <v>21</v>
      </c>
      <c r="B35" s="57" t="s">
        <v>241</v>
      </c>
      <c r="C35" s="4">
        <f>SUM(M35:O35)</f>
        <v>187246.5</v>
      </c>
      <c r="D35" s="4">
        <f t="shared" si="5"/>
        <v>187246.5</v>
      </c>
      <c r="E35" s="4"/>
      <c r="F35" s="4"/>
      <c r="G35" s="4">
        <f t="shared" si="7"/>
        <v>187247</v>
      </c>
      <c r="H35" s="4"/>
      <c r="I35" s="4">
        <f t="shared" si="3"/>
        <v>0</v>
      </c>
      <c r="J35" s="4">
        <f t="shared" si="3"/>
        <v>21751.45</v>
      </c>
      <c r="K35" s="4">
        <f t="shared" si="3"/>
        <v>165495.05</v>
      </c>
      <c r="L35" s="4"/>
      <c r="M35" s="56">
        <v>0</v>
      </c>
      <c r="N35" s="14">
        <v>21751.45</v>
      </c>
      <c r="O35" s="14">
        <v>165495.05</v>
      </c>
      <c r="P35" s="4"/>
      <c r="Q35" s="56">
        <v>0</v>
      </c>
      <c r="R35" s="56">
        <v>21751.45</v>
      </c>
      <c r="S35" s="56">
        <v>165495.05</v>
      </c>
      <c r="T35" s="4"/>
      <c r="U35" s="4"/>
      <c r="V35" s="4"/>
      <c r="W35" s="4"/>
      <c r="X35" s="4"/>
      <c r="Y35" s="4"/>
    </row>
    <row r="36" spans="1:25" ht="12.75">
      <c r="A36" s="38">
        <f t="shared" si="0"/>
        <v>22</v>
      </c>
      <c r="B36" s="57" t="s">
        <v>242</v>
      </c>
      <c r="C36" s="4">
        <f>SUM(M36:O36)</f>
        <v>-26192.200000000004</v>
      </c>
      <c r="D36" s="4">
        <f t="shared" si="5"/>
        <v>-339791.16000000003</v>
      </c>
      <c r="E36" s="4"/>
      <c r="F36" s="4"/>
      <c r="G36" s="4">
        <f t="shared" si="7"/>
        <v>-182992</v>
      </c>
      <c r="H36" s="4"/>
      <c r="I36" s="4">
        <f t="shared" si="3"/>
        <v>0</v>
      </c>
      <c r="J36" s="4">
        <f t="shared" si="3"/>
        <v>-8053.125</v>
      </c>
      <c r="K36" s="4">
        <f t="shared" si="3"/>
        <v>-174938.555</v>
      </c>
      <c r="L36" s="4"/>
      <c r="M36" s="56">
        <v>0</v>
      </c>
      <c r="N36" s="14">
        <v>12853.71</v>
      </c>
      <c r="O36" s="14">
        <v>-39045.91</v>
      </c>
      <c r="P36" s="4"/>
      <c r="Q36" s="56">
        <v>0</v>
      </c>
      <c r="R36" s="56">
        <v>-28959.96</v>
      </c>
      <c r="S36" s="56">
        <v>-310831.2</v>
      </c>
      <c r="T36" s="4"/>
      <c r="U36" s="4"/>
      <c r="V36" s="4"/>
      <c r="W36" s="4"/>
      <c r="X36" s="4"/>
      <c r="Y36" s="4"/>
    </row>
    <row r="37" spans="1:25" ht="12.75">
      <c r="A37" s="38">
        <f t="shared" si="0"/>
        <v>23</v>
      </c>
      <c r="B37" s="4" t="s">
        <v>243</v>
      </c>
      <c r="C37" s="4">
        <f t="shared" si="6"/>
        <v>116182.43999999999</v>
      </c>
      <c r="D37" s="4">
        <f t="shared" si="5"/>
        <v>59539.770000000004</v>
      </c>
      <c r="E37" s="4"/>
      <c r="F37" s="4"/>
      <c r="G37" s="4">
        <f t="shared" si="7"/>
        <v>87861</v>
      </c>
      <c r="H37" s="4"/>
      <c r="I37" s="4">
        <f t="shared" si="3"/>
        <v>0</v>
      </c>
      <c r="J37" s="4">
        <f t="shared" si="3"/>
        <v>14831.669999999998</v>
      </c>
      <c r="K37" s="4">
        <f t="shared" si="3"/>
        <v>73029.435</v>
      </c>
      <c r="L37" s="4"/>
      <c r="M37" s="56">
        <v>0</v>
      </c>
      <c r="N37" s="14">
        <v>11719.4</v>
      </c>
      <c r="O37" s="14">
        <v>104463.04</v>
      </c>
      <c r="P37" s="4"/>
      <c r="Q37" s="56">
        <v>0</v>
      </c>
      <c r="R37" s="56">
        <v>17943.94</v>
      </c>
      <c r="S37" s="56">
        <v>41595.83</v>
      </c>
      <c r="T37" s="4"/>
      <c r="U37" s="4"/>
      <c r="V37" s="4"/>
      <c r="W37" s="4"/>
      <c r="X37" s="4"/>
      <c r="Y37" s="4"/>
    </row>
    <row r="38" spans="1:25" ht="12.75">
      <c r="A38" s="38">
        <f t="shared" si="0"/>
        <v>24</v>
      </c>
      <c r="B38" s="57" t="s">
        <v>461</v>
      </c>
      <c r="C38" s="4">
        <f aca="true" t="shared" si="8" ref="C38:C43">SUM(M38:O38)</f>
        <v>0</v>
      </c>
      <c r="D38" s="4">
        <f t="shared" si="5"/>
        <v>0</v>
      </c>
      <c r="E38" s="4"/>
      <c r="F38" s="4"/>
      <c r="G38" s="4">
        <f t="shared" si="7"/>
        <v>0</v>
      </c>
      <c r="H38" s="4"/>
      <c r="I38" s="4">
        <f t="shared" si="3"/>
        <v>0</v>
      </c>
      <c r="J38" s="4">
        <f t="shared" si="3"/>
        <v>0</v>
      </c>
      <c r="K38" s="4">
        <f t="shared" si="3"/>
        <v>0</v>
      </c>
      <c r="L38" s="4"/>
      <c r="M38" s="56">
        <v>0</v>
      </c>
      <c r="N38" s="14">
        <v>0</v>
      </c>
      <c r="O38" s="14">
        <v>0</v>
      </c>
      <c r="P38" s="4"/>
      <c r="Q38" s="56">
        <v>0</v>
      </c>
      <c r="R38" s="56">
        <v>0</v>
      </c>
      <c r="S38" s="56">
        <v>0</v>
      </c>
      <c r="T38" s="4"/>
      <c r="U38" s="4"/>
      <c r="V38" s="4"/>
      <c r="W38" s="4"/>
      <c r="X38" s="4"/>
      <c r="Y38" s="4"/>
    </row>
    <row r="39" spans="1:25" ht="12.75">
      <c r="A39" s="38">
        <f t="shared" si="0"/>
        <v>25</v>
      </c>
      <c r="B39" s="57" t="s">
        <v>250</v>
      </c>
      <c r="C39" s="4">
        <f t="shared" si="8"/>
        <v>0</v>
      </c>
      <c r="D39" s="4">
        <f t="shared" si="5"/>
        <v>0</v>
      </c>
      <c r="E39" s="4"/>
      <c r="F39" s="4"/>
      <c r="G39" s="4">
        <f t="shared" si="7"/>
        <v>0</v>
      </c>
      <c r="H39" s="4"/>
      <c r="I39" s="4">
        <f t="shared" si="3"/>
        <v>0</v>
      </c>
      <c r="J39" s="4">
        <f t="shared" si="3"/>
        <v>0</v>
      </c>
      <c r="K39" s="4">
        <f t="shared" si="3"/>
        <v>0</v>
      </c>
      <c r="L39" s="4"/>
      <c r="M39" s="56">
        <v>0</v>
      </c>
      <c r="N39" s="14">
        <v>0</v>
      </c>
      <c r="O39" s="14">
        <v>0</v>
      </c>
      <c r="P39" s="4"/>
      <c r="Q39" s="56">
        <v>0</v>
      </c>
      <c r="R39" s="56">
        <v>0</v>
      </c>
      <c r="S39" s="56">
        <v>0</v>
      </c>
      <c r="T39" s="4"/>
      <c r="U39" s="4"/>
      <c r="V39" s="4"/>
      <c r="W39" s="4"/>
      <c r="X39" s="4"/>
      <c r="Y39" s="4"/>
    </row>
    <row r="40" spans="1:25" ht="12.75">
      <c r="A40" s="38">
        <f t="shared" si="0"/>
        <v>26</v>
      </c>
      <c r="B40" s="58" t="s">
        <v>251</v>
      </c>
      <c r="C40" s="4">
        <f t="shared" si="8"/>
        <v>0</v>
      </c>
      <c r="D40" s="4">
        <f>SUM(Q40:S40)</f>
        <v>-0.05</v>
      </c>
      <c r="E40" s="4"/>
      <c r="F40" s="4"/>
      <c r="G40" s="4">
        <f>ROUND(SUM(C40:F40)/2,0)</f>
        <v>0</v>
      </c>
      <c r="H40" s="4"/>
      <c r="I40" s="4">
        <f t="shared" si="3"/>
        <v>0</v>
      </c>
      <c r="J40" s="4">
        <f t="shared" si="3"/>
        <v>0</v>
      </c>
      <c r="K40" s="4">
        <f t="shared" si="3"/>
        <v>-0.025</v>
      </c>
      <c r="L40" s="4"/>
      <c r="M40" s="56">
        <v>0</v>
      </c>
      <c r="N40" s="14">
        <v>0</v>
      </c>
      <c r="O40" s="14">
        <v>0</v>
      </c>
      <c r="P40" s="4"/>
      <c r="Q40" s="56">
        <v>0</v>
      </c>
      <c r="R40" s="56">
        <v>0</v>
      </c>
      <c r="S40" s="56">
        <v>-0.05</v>
      </c>
      <c r="T40" s="4"/>
      <c r="U40" s="4"/>
      <c r="V40" s="4"/>
      <c r="W40" s="4"/>
      <c r="X40" s="4"/>
      <c r="Y40" s="4"/>
    </row>
    <row r="41" spans="1:25" ht="12.75">
      <c r="A41" s="38">
        <f t="shared" si="0"/>
        <v>27</v>
      </c>
      <c r="B41" s="57" t="s">
        <v>252</v>
      </c>
      <c r="C41" s="4">
        <f t="shared" si="8"/>
        <v>-1042.7000000000007</v>
      </c>
      <c r="D41" s="4">
        <f t="shared" si="5"/>
        <v>-1042.7000000000007</v>
      </c>
      <c r="E41" s="4"/>
      <c r="F41" s="4"/>
      <c r="G41" s="4">
        <f t="shared" si="7"/>
        <v>-1043</v>
      </c>
      <c r="H41" s="4"/>
      <c r="I41" s="4">
        <f t="shared" si="3"/>
        <v>0</v>
      </c>
      <c r="J41" s="4">
        <f t="shared" si="3"/>
        <v>0.1499999999996362</v>
      </c>
      <c r="K41" s="4">
        <f t="shared" si="3"/>
        <v>-1042.8500000000004</v>
      </c>
      <c r="L41" s="4"/>
      <c r="M41" s="56">
        <v>0</v>
      </c>
      <c r="N41" s="14">
        <v>0.1499999999996362</v>
      </c>
      <c r="O41" s="14">
        <v>-1042.8500000000004</v>
      </c>
      <c r="P41" s="4"/>
      <c r="Q41" s="56">
        <v>0</v>
      </c>
      <c r="R41" s="56">
        <f>-7962.85+7963</f>
        <v>0.1499999999996362</v>
      </c>
      <c r="S41" s="56">
        <f>-9005.85+7963</f>
        <v>-1042.8500000000004</v>
      </c>
      <c r="T41" s="4"/>
      <c r="U41" s="4"/>
      <c r="V41" s="4"/>
      <c r="W41" s="4"/>
      <c r="X41" s="4"/>
      <c r="Y41" s="4"/>
    </row>
    <row r="42" spans="1:25" ht="12.75">
      <c r="A42" s="38">
        <f t="shared" si="0"/>
        <v>28</v>
      </c>
      <c r="B42" s="57" t="s">
        <v>253</v>
      </c>
      <c r="C42" s="4">
        <f t="shared" si="8"/>
        <v>0</v>
      </c>
      <c r="D42" s="4">
        <f>SUM(Q42:S42)</f>
        <v>0</v>
      </c>
      <c r="E42" s="4"/>
      <c r="F42" s="4"/>
      <c r="G42" s="4">
        <f>ROUND(SUM(C42:F42)/2,0)</f>
        <v>0</v>
      </c>
      <c r="H42" s="4"/>
      <c r="I42" s="4">
        <f t="shared" si="3"/>
        <v>0</v>
      </c>
      <c r="J42" s="4">
        <f t="shared" si="3"/>
        <v>0</v>
      </c>
      <c r="K42" s="4">
        <f t="shared" si="3"/>
        <v>0</v>
      </c>
      <c r="L42" s="4"/>
      <c r="M42" s="56">
        <v>0</v>
      </c>
      <c r="N42" s="14">
        <v>0</v>
      </c>
      <c r="O42" s="14">
        <v>0</v>
      </c>
      <c r="P42" s="4"/>
      <c r="Q42" s="56">
        <v>0</v>
      </c>
      <c r="R42" s="56">
        <v>0</v>
      </c>
      <c r="S42" s="56">
        <v>0</v>
      </c>
      <c r="T42" s="4"/>
      <c r="U42" s="4"/>
      <c r="V42" s="4"/>
      <c r="W42" s="4"/>
      <c r="X42" s="4"/>
      <c r="Y42" s="4"/>
    </row>
    <row r="43" spans="1:25" ht="12.75">
      <c r="A43" s="38">
        <f t="shared" si="0"/>
        <v>29</v>
      </c>
      <c r="B43" s="58" t="s">
        <v>260</v>
      </c>
      <c r="C43" s="4">
        <f t="shared" si="8"/>
        <v>13236</v>
      </c>
      <c r="D43" s="4">
        <f>SUM(Q43:S43)</f>
        <v>13236</v>
      </c>
      <c r="E43" s="4"/>
      <c r="F43" s="4"/>
      <c r="G43" s="4">
        <f>ROUND(SUM(C43:F43)/2,0)</f>
        <v>13236</v>
      </c>
      <c r="H43" s="4"/>
      <c r="I43" s="4">
        <f t="shared" si="3"/>
        <v>0</v>
      </c>
      <c r="J43" s="4">
        <f t="shared" si="3"/>
        <v>383</v>
      </c>
      <c r="K43" s="4">
        <f t="shared" si="3"/>
        <v>12853</v>
      </c>
      <c r="L43" s="4"/>
      <c r="M43" s="56">
        <v>0</v>
      </c>
      <c r="N43" s="14">
        <v>383</v>
      </c>
      <c r="O43" s="14">
        <v>12853</v>
      </c>
      <c r="P43" s="4"/>
      <c r="Q43" s="56">
        <v>0</v>
      </c>
      <c r="R43" s="56">
        <v>383</v>
      </c>
      <c r="S43" s="56">
        <v>12853</v>
      </c>
      <c r="T43" s="4"/>
      <c r="U43" s="4"/>
      <c r="V43" s="4"/>
      <c r="W43" s="4"/>
      <c r="X43" s="4"/>
      <c r="Y43" s="4"/>
    </row>
    <row r="44" spans="1:25" ht="12.75">
      <c r="A44" s="38">
        <f t="shared" si="0"/>
        <v>30</v>
      </c>
      <c r="B44" s="4" t="s">
        <v>16</v>
      </c>
      <c r="C44" s="9">
        <v>33335.49</v>
      </c>
      <c r="D44" s="9">
        <v>50367.89</v>
      </c>
      <c r="E44" s="4">
        <f aca="true" t="shared" si="9" ref="E44:F47">-C44</f>
        <v>-33335.49</v>
      </c>
      <c r="F44" s="4">
        <f t="shared" si="9"/>
        <v>-50367.89</v>
      </c>
      <c r="G44" s="4">
        <f aca="true" t="shared" si="10" ref="G44:G49">ROUND(SUM(C44:F44)/2,0)</f>
        <v>0</v>
      </c>
      <c r="H44" s="4"/>
      <c r="I44" s="4"/>
      <c r="J44" s="4"/>
      <c r="K44" s="4"/>
      <c r="L44" s="4"/>
      <c r="M44" s="4"/>
      <c r="P44" s="4"/>
      <c r="Q44" s="4"/>
      <c r="T44" s="4"/>
      <c r="U44" s="4"/>
      <c r="V44" s="4"/>
      <c r="W44" s="4"/>
      <c r="X44" s="4"/>
      <c r="Y44" s="4"/>
    </row>
    <row r="45" spans="1:25" ht="12.75">
      <c r="A45" s="38">
        <f t="shared" si="0"/>
        <v>31</v>
      </c>
      <c r="B45" s="4" t="s">
        <v>262</v>
      </c>
      <c r="C45" s="59">
        <v>1155342.17</v>
      </c>
      <c r="D45" s="59">
        <v>1095539.94</v>
      </c>
      <c r="E45" s="4">
        <f t="shared" si="9"/>
        <v>-1155342.17</v>
      </c>
      <c r="F45" s="4">
        <f t="shared" si="9"/>
        <v>-1095539.94</v>
      </c>
      <c r="G45" s="4">
        <f t="shared" si="10"/>
        <v>0</v>
      </c>
      <c r="H45" s="4"/>
      <c r="I45" s="4"/>
      <c r="J45" s="4"/>
      <c r="K45" s="4"/>
      <c r="L45" s="4"/>
      <c r="M45" s="4"/>
      <c r="P45" s="4"/>
      <c r="Q45" s="4"/>
      <c r="T45" s="4"/>
      <c r="U45" s="4"/>
      <c r="V45" s="4"/>
      <c r="W45" s="4"/>
      <c r="X45" s="4"/>
      <c r="Y45" s="4"/>
    </row>
    <row r="46" spans="1:25" ht="12.75">
      <c r="A46" s="38">
        <f t="shared" si="0"/>
        <v>32</v>
      </c>
      <c r="B46" s="4" t="s">
        <v>263</v>
      </c>
      <c r="C46" s="9">
        <v>5086.85</v>
      </c>
      <c r="D46" s="9">
        <v>5016.31</v>
      </c>
      <c r="E46" s="4">
        <f t="shared" si="9"/>
        <v>-5086.85</v>
      </c>
      <c r="F46" s="4">
        <f t="shared" si="9"/>
        <v>-5016.31</v>
      </c>
      <c r="G46" s="4">
        <f t="shared" si="10"/>
        <v>0</v>
      </c>
      <c r="H46" s="4"/>
      <c r="I46" s="4"/>
      <c r="J46" s="4"/>
      <c r="K46" s="4"/>
      <c r="L46" s="4"/>
      <c r="M46" s="4"/>
      <c r="P46" s="4"/>
      <c r="Q46" s="4"/>
      <c r="T46" s="4"/>
      <c r="U46" s="4"/>
      <c r="V46" s="4"/>
      <c r="W46" s="4"/>
      <c r="X46" s="4"/>
      <c r="Y46" s="4"/>
    </row>
    <row r="47" spans="1:25" ht="12.75">
      <c r="A47" s="38">
        <f t="shared" si="0"/>
        <v>33</v>
      </c>
      <c r="B47" s="4" t="s">
        <v>264</v>
      </c>
      <c r="C47" s="9">
        <v>0</v>
      </c>
      <c r="D47" s="9">
        <v>0</v>
      </c>
      <c r="E47" s="4">
        <f t="shared" si="9"/>
        <v>0</v>
      </c>
      <c r="F47" s="4">
        <f t="shared" si="9"/>
        <v>0</v>
      </c>
      <c r="G47" s="4">
        <f t="shared" si="10"/>
        <v>0</v>
      </c>
      <c r="H47" s="4"/>
      <c r="I47" s="4"/>
      <c r="J47" s="4"/>
      <c r="K47" s="4"/>
      <c r="L47" s="4"/>
      <c r="M47" s="4"/>
      <c r="P47" s="4"/>
      <c r="Q47" s="4"/>
      <c r="T47" s="4"/>
      <c r="U47" s="4"/>
      <c r="V47" s="4"/>
      <c r="W47" s="4"/>
      <c r="X47" s="4"/>
      <c r="Y47" s="4"/>
    </row>
    <row r="48" spans="1:25" ht="12.75">
      <c r="A48" s="38">
        <f t="shared" si="0"/>
        <v>34</v>
      </c>
      <c r="B48" s="11" t="s">
        <v>265</v>
      </c>
      <c r="C48" s="9">
        <v>0</v>
      </c>
      <c r="D48" s="9">
        <v>0</v>
      </c>
      <c r="E48" s="4">
        <f>-C48</f>
        <v>0</v>
      </c>
      <c r="F48" s="4">
        <f>-D48</f>
        <v>0</v>
      </c>
      <c r="G48" s="4">
        <f t="shared" si="10"/>
        <v>0</v>
      </c>
      <c r="H48" s="4"/>
      <c r="I48" s="4"/>
      <c r="J48" s="4"/>
      <c r="K48" s="4"/>
      <c r="L48" s="4"/>
      <c r="M48" s="4"/>
      <c r="P48" s="4"/>
      <c r="Q48" s="4"/>
      <c r="T48" s="4"/>
      <c r="U48" s="4"/>
      <c r="V48" s="4"/>
      <c r="W48" s="4"/>
      <c r="X48" s="4"/>
      <c r="Y48" s="4"/>
    </row>
    <row r="49" spans="1:25" ht="12.75">
      <c r="A49" s="38">
        <f t="shared" si="0"/>
        <v>35</v>
      </c>
      <c r="B49" s="11" t="s">
        <v>271</v>
      </c>
      <c r="C49" s="9">
        <v>0</v>
      </c>
      <c r="D49" s="9">
        <v>0</v>
      </c>
      <c r="E49" s="4">
        <f>-C49</f>
        <v>0</v>
      </c>
      <c r="F49" s="4">
        <f>-D49</f>
        <v>0</v>
      </c>
      <c r="G49" s="4">
        <f t="shared" si="10"/>
        <v>0</v>
      </c>
      <c r="H49" s="4"/>
      <c r="I49" s="4"/>
      <c r="J49" s="4"/>
      <c r="K49" s="4"/>
      <c r="L49" s="4"/>
      <c r="M49" s="4"/>
      <c r="P49" s="4"/>
      <c r="Q49" s="4"/>
      <c r="T49" s="4"/>
      <c r="U49" s="4"/>
      <c r="V49" s="4"/>
      <c r="W49" s="4"/>
      <c r="X49" s="4"/>
      <c r="Y49" s="4"/>
    </row>
    <row r="50" spans="1:25" ht="12.75">
      <c r="A50" s="38">
        <f t="shared" si="0"/>
        <v>36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P50" s="4"/>
      <c r="Q50" s="4"/>
      <c r="T50" s="4"/>
      <c r="U50" s="4"/>
      <c r="V50" s="4"/>
      <c r="W50" s="4"/>
      <c r="X50" s="4"/>
      <c r="Y50" s="4"/>
    </row>
    <row r="51" spans="1:25" ht="13.5" thickBot="1">
      <c r="A51" s="38">
        <f t="shared" si="0"/>
        <v>37</v>
      </c>
      <c r="B51" s="11" t="s">
        <v>273</v>
      </c>
      <c r="C51" s="60">
        <f>SUM(C17:C50)</f>
        <v>573300.64</v>
      </c>
      <c r="D51" s="60">
        <f>SUM(D17:D50)</f>
        <v>85156.95999999979</v>
      </c>
      <c r="E51" s="60">
        <f>SUM(E17:E50)</f>
        <v>-1193764.51</v>
      </c>
      <c r="F51" s="60">
        <f>SUM(F17:F50)</f>
        <v>-1150924.14</v>
      </c>
      <c r="G51" s="60">
        <f>SUM(G17:G50)</f>
        <v>-843114</v>
      </c>
      <c r="H51" s="4"/>
      <c r="I51" s="60">
        <f>SUM(I17:I50)</f>
        <v>0</v>
      </c>
      <c r="J51" s="60">
        <f>SUM(J17:J50)</f>
        <v>-93189.74</v>
      </c>
      <c r="K51" s="60">
        <f>SUM(K17:K50)</f>
        <v>-749925.7850000001</v>
      </c>
      <c r="L51" s="4"/>
      <c r="M51" s="60">
        <f>SUM(M17:M50)</f>
        <v>0</v>
      </c>
      <c r="N51" s="60">
        <f>SUM(N17:N50)</f>
        <v>-93776.98000000001</v>
      </c>
      <c r="O51" s="60">
        <f>SUM(O17:O50)</f>
        <v>-526686.8899999997</v>
      </c>
      <c r="P51" s="4"/>
      <c r="Q51" s="60">
        <f>SUM(Q17:Q50)</f>
        <v>0</v>
      </c>
      <c r="R51" s="60">
        <f>SUM(R17:R50)</f>
        <v>-92602.5</v>
      </c>
      <c r="S51" s="60">
        <f>SUM(S17:S50)</f>
        <v>-973164.6800000002</v>
      </c>
      <c r="T51" s="4"/>
      <c r="U51" s="4"/>
      <c r="V51" s="4"/>
      <c r="W51" s="4"/>
      <c r="X51" s="4"/>
      <c r="Y51" s="4"/>
    </row>
    <row r="52" ht="13.5" thickTop="1"/>
  </sheetData>
  <sheetProtection/>
  <printOptions/>
  <pageMargins left="0.5" right="0.25" top="0.75" bottom="0.5" header="0" footer="0"/>
  <pageSetup fitToWidth="2" horizontalDpi="600" verticalDpi="600" orientation="portrait" scale="65" r:id="rId1"/>
  <headerFooter alignWithMargins="0">
    <oddHeader>&amp;RSTATEMENT AG-3
PAGE &amp;P OF &amp;N</oddHeader>
  </headerFooter>
  <colBreaks count="3" manualBreakCount="3">
    <brk id="7" min="14" max="56" man="1"/>
    <brk id="11" min="14" max="56" man="1"/>
    <brk id="15" min="14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38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1" sqref="B21"/>
    </sheetView>
  </sheetViews>
  <sheetFormatPr defaultColWidth="12.7109375" defaultRowHeight="12.75"/>
  <cols>
    <col min="1" max="1" width="4.7109375" style="2" customWidth="1"/>
    <col min="2" max="2" width="54.710937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16384" width="12.7109375" style="1" customWidth="1"/>
  </cols>
  <sheetData>
    <row r="1" spans="2:19" ht="12.75">
      <c r="B1" s="26" t="s">
        <v>462</v>
      </c>
      <c r="G1" s="8"/>
      <c r="H1" s="8"/>
      <c r="I1" s="8"/>
      <c r="J1" s="8"/>
      <c r="K1" s="8"/>
      <c r="L1" s="8"/>
      <c r="S1" s="8"/>
    </row>
    <row r="2" spans="2:19" ht="12.75">
      <c r="B2" s="26" t="s">
        <v>180</v>
      </c>
      <c r="G2" s="8"/>
      <c r="H2" s="8"/>
      <c r="I2" s="8"/>
      <c r="J2" s="8"/>
      <c r="K2" s="8"/>
      <c r="L2" s="8"/>
      <c r="S2" s="7"/>
    </row>
    <row r="3" ht="12.75">
      <c r="B3" s="26" t="s">
        <v>179</v>
      </c>
    </row>
    <row r="4" spans="7:12" ht="12.75">
      <c r="G4" s="25" t="s">
        <v>178</v>
      </c>
      <c r="H4" s="25"/>
      <c r="I4" s="25"/>
      <c r="J4" s="25"/>
      <c r="K4" s="25"/>
      <c r="L4" s="25"/>
    </row>
    <row r="5" ht="12.75">
      <c r="B5" s="24"/>
    </row>
    <row r="6" ht="12.75"/>
    <row r="7" ht="12.75"/>
    <row r="8" spans="2:19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/>
      <c r="M8" s="18" t="s">
        <v>168</v>
      </c>
      <c r="N8" s="18" t="s">
        <v>167</v>
      </c>
      <c r="O8" s="18" t="s">
        <v>166</v>
      </c>
      <c r="Q8" s="18" t="s">
        <v>165</v>
      </c>
      <c r="R8" s="18" t="s">
        <v>164</v>
      </c>
      <c r="S8" s="18" t="s">
        <v>163</v>
      </c>
    </row>
    <row r="9" ht="12.75"/>
    <row r="10" spans="3:19" ht="12.75">
      <c r="C10" s="21" t="s">
        <v>162</v>
      </c>
      <c r="D10" s="21"/>
      <c r="E10" s="23" t="s">
        <v>161</v>
      </c>
      <c r="F10" s="21"/>
      <c r="G10" s="19" t="s">
        <v>160</v>
      </c>
      <c r="H10" s="19"/>
      <c r="I10" s="22" t="s">
        <v>159</v>
      </c>
      <c r="J10" s="21"/>
      <c r="K10" s="21"/>
      <c r="L10" s="19"/>
      <c r="M10" s="36" t="s">
        <v>158</v>
      </c>
      <c r="N10" s="21"/>
      <c r="O10" s="21"/>
      <c r="Q10" s="22" t="s">
        <v>157</v>
      </c>
      <c r="R10" s="21"/>
      <c r="S10" s="21"/>
    </row>
    <row r="11" spans="3:19" ht="12.75">
      <c r="C11" s="20"/>
      <c r="D11" s="20"/>
      <c r="G11" s="19" t="s">
        <v>156</v>
      </c>
      <c r="H11" s="19"/>
      <c r="I11" s="20"/>
      <c r="J11" s="20"/>
      <c r="K11" s="20"/>
      <c r="L11" s="19"/>
      <c r="M11" s="20"/>
      <c r="N11" s="20"/>
      <c r="O11" s="20"/>
      <c r="Q11" s="20"/>
      <c r="R11" s="20"/>
      <c r="S11" s="20"/>
    </row>
    <row r="12" spans="3:12" ht="12.75">
      <c r="C12" s="19" t="s">
        <v>155</v>
      </c>
      <c r="D12" s="19" t="s">
        <v>155</v>
      </c>
      <c r="E12" s="19" t="s">
        <v>155</v>
      </c>
      <c r="F12" s="19" t="s">
        <v>155</v>
      </c>
      <c r="G12" s="19" t="s">
        <v>154</v>
      </c>
      <c r="H12" s="19"/>
      <c r="L12" s="19"/>
    </row>
    <row r="13" spans="2:19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D13</f>
        <v>OF 12-31-14</v>
      </c>
      <c r="G13" s="18" t="s">
        <v>150</v>
      </c>
      <c r="H13" s="18"/>
      <c r="I13" s="18" t="s">
        <v>149</v>
      </c>
      <c r="J13" s="18" t="s">
        <v>148</v>
      </c>
      <c r="K13" s="18" t="s">
        <v>147</v>
      </c>
      <c r="L13" s="18"/>
      <c r="M13" s="18" t="s">
        <v>149</v>
      </c>
      <c r="N13" s="18" t="s">
        <v>148</v>
      </c>
      <c r="O13" s="18" t="s">
        <v>147</v>
      </c>
      <c r="Q13" s="18" t="s">
        <v>149</v>
      </c>
      <c r="R13" s="18" t="s">
        <v>148</v>
      </c>
      <c r="S13" s="18" t="s">
        <v>147</v>
      </c>
    </row>
    <row r="14" ht="12.75"/>
    <row r="15" spans="1:19" ht="12.75">
      <c r="A15" s="5">
        <v>1</v>
      </c>
      <c r="B15" s="7" t="s">
        <v>146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5">
        <f aca="true" t="shared" si="0" ref="A16:A79">A15+1</f>
        <v>2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5">
        <f t="shared" si="0"/>
        <v>3</v>
      </c>
      <c r="B17" s="7" t="s">
        <v>145</v>
      </c>
      <c r="C17" s="4">
        <f>SUM(M17:O17)</f>
        <v>60936705.9</v>
      </c>
      <c r="D17" s="4">
        <f>SUM(Q17:S17)</f>
        <v>85033734.1</v>
      </c>
      <c r="E17" s="4"/>
      <c r="F17" s="4"/>
      <c r="G17" s="4">
        <f>ROUND(SUM(C17:F17)/2,0)</f>
        <v>72985220</v>
      </c>
      <c r="H17" s="4"/>
      <c r="I17" s="4">
        <f>(M17+Q17)/2</f>
        <v>72985220</v>
      </c>
      <c r="J17" s="4">
        <f>(N17+R17)/2</f>
        <v>0</v>
      </c>
      <c r="K17" s="4">
        <f>(O17+S17)/2</f>
        <v>0</v>
      </c>
      <c r="L17" s="4"/>
      <c r="M17" s="9">
        <v>60936705.9</v>
      </c>
      <c r="N17" s="9">
        <v>0</v>
      </c>
      <c r="O17" s="9">
        <v>0</v>
      </c>
      <c r="P17" s="4"/>
      <c r="Q17" s="9">
        <v>85033734.1</v>
      </c>
      <c r="R17" s="9">
        <v>0</v>
      </c>
      <c r="S17" s="9">
        <v>0</v>
      </c>
    </row>
    <row r="18" spans="1:19" ht="12.75">
      <c r="A18" s="5">
        <f t="shared" si="0"/>
        <v>4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5">
        <f t="shared" si="0"/>
        <v>5</v>
      </c>
      <c r="B19" s="7" t="s">
        <v>463</v>
      </c>
      <c r="C19" s="4">
        <v>0</v>
      </c>
      <c r="D19" s="4">
        <v>0</v>
      </c>
      <c r="E19" s="4">
        <f aca="true" t="shared" si="1" ref="E19:F21">-C19</f>
        <v>0</v>
      </c>
      <c r="F19" s="4">
        <f t="shared" si="1"/>
        <v>0</v>
      </c>
      <c r="G19" s="4">
        <f>ROUND(SUM(C19:F19)/2,0)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5">
        <f t="shared" si="0"/>
        <v>6</v>
      </c>
      <c r="B20" s="8" t="s">
        <v>144</v>
      </c>
      <c r="C20" s="4">
        <v>0</v>
      </c>
      <c r="D20" s="4">
        <v>0</v>
      </c>
      <c r="E20" s="4">
        <f t="shared" si="1"/>
        <v>0</v>
      </c>
      <c r="F20" s="4">
        <f t="shared" si="1"/>
        <v>0</v>
      </c>
      <c r="G20" s="4">
        <f>ROUND(SUM(C20:F20)/2,0)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5">
        <f t="shared" si="0"/>
        <v>7</v>
      </c>
      <c r="B21" s="8" t="s">
        <v>143</v>
      </c>
      <c r="C21" s="4">
        <v>0</v>
      </c>
      <c r="D21" s="4">
        <v>0</v>
      </c>
      <c r="E21" s="4">
        <f t="shared" si="1"/>
        <v>0</v>
      </c>
      <c r="F21" s="4">
        <f t="shared" si="1"/>
        <v>0</v>
      </c>
      <c r="G21" s="4">
        <f>ROUND(SUM(C21:F21)/2,0)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5">
        <f t="shared" si="0"/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5" thickBot="1">
      <c r="A23" s="5">
        <f t="shared" si="0"/>
        <v>9</v>
      </c>
      <c r="B23" s="7" t="s">
        <v>142</v>
      </c>
      <c r="C23" s="6">
        <f>SUM(C17:C22)</f>
        <v>60936705.9</v>
      </c>
      <c r="D23" s="6">
        <f>SUM(D17:D22)</f>
        <v>85033734.1</v>
      </c>
      <c r="E23" s="6">
        <f>SUM(E17:E22)</f>
        <v>0</v>
      </c>
      <c r="F23" s="6">
        <f>SUM(F17:F22)</f>
        <v>0</v>
      </c>
      <c r="G23" s="6">
        <f>SUM(G17:G22)</f>
        <v>72985220</v>
      </c>
      <c r="H23" s="4"/>
      <c r="I23" s="6">
        <f>SUM(I17:I22)</f>
        <v>72985220</v>
      </c>
      <c r="J23" s="6">
        <f>SUM(J17:J22)</f>
        <v>0</v>
      </c>
      <c r="K23" s="6">
        <f>SUM(K17:K22)</f>
        <v>0</v>
      </c>
      <c r="L23" s="4"/>
      <c r="M23" s="6">
        <f>SUM(M17:M22)</f>
        <v>60936705.9</v>
      </c>
      <c r="N23" s="6">
        <f>SUM(N17:N22)</f>
        <v>0</v>
      </c>
      <c r="O23" s="6">
        <f>SUM(O17:O22)</f>
        <v>0</v>
      </c>
      <c r="P23" s="4"/>
      <c r="Q23" s="6">
        <f>SUM(Q17:Q22)</f>
        <v>85033734.1</v>
      </c>
      <c r="R23" s="6">
        <f>SUM(R17:R22)</f>
        <v>0</v>
      </c>
      <c r="S23" s="6">
        <f>SUM(S17:S22)</f>
        <v>0</v>
      </c>
    </row>
    <row r="24" spans="1:19" ht="13.5" thickTop="1">
      <c r="A24" s="5">
        <f t="shared" si="0"/>
        <v>10</v>
      </c>
      <c r="C24" s="3"/>
      <c r="D24" s="3"/>
      <c r="E24" s="3"/>
      <c r="F24" s="3"/>
      <c r="G24" s="3"/>
      <c r="H24" s="4"/>
      <c r="I24" s="3"/>
      <c r="J24" s="3"/>
      <c r="K24" s="3"/>
      <c r="L24" s="4"/>
      <c r="M24" s="3"/>
      <c r="N24" s="3"/>
      <c r="O24" s="3"/>
      <c r="P24" s="4"/>
      <c r="Q24" s="3"/>
      <c r="R24" s="3"/>
      <c r="S24" s="3"/>
    </row>
    <row r="25" spans="1:19" ht="12.75">
      <c r="A25" s="5">
        <f t="shared" si="0"/>
        <v>11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5">
        <f t="shared" si="0"/>
        <v>12</v>
      </c>
      <c r="B26" s="8" t="s">
        <v>141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5">
        <f t="shared" si="0"/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5">
        <f t="shared" si="0"/>
        <v>14</v>
      </c>
      <c r="B28" s="7" t="s">
        <v>140</v>
      </c>
      <c r="C28" s="4">
        <f aca="true" t="shared" si="2" ref="C28:C50">SUM(M28:O28)</f>
        <v>220262750.8</v>
      </c>
      <c r="D28" s="4">
        <f>SUM(Q28:S28)</f>
        <v>260125685.95</v>
      </c>
      <c r="E28" s="4"/>
      <c r="F28" s="4"/>
      <c r="G28" s="4">
        <f aca="true" t="shared" si="3" ref="G28:G57">ROUND(SUM(C28:F28)/2,0)</f>
        <v>240194218</v>
      </c>
      <c r="H28" s="4"/>
      <c r="I28" s="4">
        <f aca="true" t="shared" si="4" ref="I28:K54">(M28+Q28)/2</f>
        <v>86149427.375</v>
      </c>
      <c r="J28" s="4">
        <f t="shared" si="4"/>
        <v>68067431.8</v>
      </c>
      <c r="K28" s="4">
        <f t="shared" si="4"/>
        <v>85977359.19999999</v>
      </c>
      <c r="L28" s="4"/>
      <c r="M28" s="14">
        <v>62838196.949999996</v>
      </c>
      <c r="N28" s="14">
        <v>68820898.14999999</v>
      </c>
      <c r="O28" s="14">
        <v>88603655.7</v>
      </c>
      <c r="P28" s="4"/>
      <c r="Q28" s="14">
        <v>109460657.8</v>
      </c>
      <c r="R28" s="14">
        <v>67313965.45</v>
      </c>
      <c r="S28" s="14">
        <v>83351062.69999999</v>
      </c>
    </row>
    <row r="29" spans="1:19" ht="12.75">
      <c r="A29" s="5">
        <f t="shared" si="0"/>
        <v>15</v>
      </c>
      <c r="B29" s="7" t="s">
        <v>464</v>
      </c>
      <c r="C29" s="4">
        <f t="shared" si="2"/>
        <v>3667</v>
      </c>
      <c r="D29" s="4">
        <f aca="true" t="shared" si="5" ref="D29:D41">SUM(Q29:S29)</f>
        <v>3667</v>
      </c>
      <c r="E29" s="4"/>
      <c r="F29" s="4"/>
      <c r="G29" s="4">
        <f t="shared" si="3"/>
        <v>3667</v>
      </c>
      <c r="H29" s="4"/>
      <c r="I29" s="4">
        <f t="shared" si="4"/>
        <v>900</v>
      </c>
      <c r="J29" s="4">
        <f t="shared" si="4"/>
        <v>1264</v>
      </c>
      <c r="K29" s="4">
        <f t="shared" si="4"/>
        <v>1503</v>
      </c>
      <c r="L29" s="4"/>
      <c r="M29" s="14">
        <v>900</v>
      </c>
      <c r="N29" s="14">
        <v>1264</v>
      </c>
      <c r="O29" s="14">
        <v>1503</v>
      </c>
      <c r="P29" s="4"/>
      <c r="Q29" s="14">
        <v>900</v>
      </c>
      <c r="R29" s="14">
        <v>1264</v>
      </c>
      <c r="S29" s="14">
        <v>1503</v>
      </c>
    </row>
    <row r="30" spans="1:19" ht="12.75">
      <c r="A30" s="5">
        <f t="shared" si="0"/>
        <v>16</v>
      </c>
      <c r="B30" s="8" t="s">
        <v>465</v>
      </c>
      <c r="C30" s="4">
        <f t="shared" si="2"/>
        <v>20380</v>
      </c>
      <c r="D30" s="4">
        <f t="shared" si="5"/>
        <v>20380</v>
      </c>
      <c r="E30" s="4"/>
      <c r="F30" s="4"/>
      <c r="G30" s="4">
        <f t="shared" si="3"/>
        <v>20380</v>
      </c>
      <c r="H30" s="4"/>
      <c r="I30" s="4">
        <f t="shared" si="4"/>
        <v>5003</v>
      </c>
      <c r="J30" s="4">
        <f t="shared" si="4"/>
        <v>7027</v>
      </c>
      <c r="K30" s="4">
        <f t="shared" si="4"/>
        <v>8350</v>
      </c>
      <c r="L30" s="4"/>
      <c r="M30" s="14">
        <v>5003</v>
      </c>
      <c r="N30" s="14">
        <v>7027</v>
      </c>
      <c r="O30" s="14">
        <v>8350</v>
      </c>
      <c r="P30" s="4"/>
      <c r="Q30" s="14">
        <v>5003</v>
      </c>
      <c r="R30" s="14">
        <v>7027</v>
      </c>
      <c r="S30" s="14">
        <v>8350</v>
      </c>
    </row>
    <row r="31" spans="1:19" ht="12.75">
      <c r="A31" s="5">
        <f t="shared" si="0"/>
        <v>17</v>
      </c>
      <c r="B31" s="24" t="s">
        <v>138</v>
      </c>
      <c r="C31" s="4">
        <f t="shared" si="2"/>
        <v>3458</v>
      </c>
      <c r="D31" s="4">
        <f t="shared" si="5"/>
        <v>4005.3999999999996</v>
      </c>
      <c r="E31" s="4"/>
      <c r="F31" s="4"/>
      <c r="G31" s="4">
        <f t="shared" si="3"/>
        <v>3732</v>
      </c>
      <c r="H31" s="4"/>
      <c r="I31" s="4">
        <f t="shared" si="4"/>
        <v>1227.275</v>
      </c>
      <c r="J31" s="4">
        <f t="shared" si="4"/>
        <v>2789.675</v>
      </c>
      <c r="K31" s="4">
        <f t="shared" si="4"/>
        <v>-285.25</v>
      </c>
      <c r="L31" s="4"/>
      <c r="M31" s="14">
        <v>1137.15</v>
      </c>
      <c r="N31" s="14">
        <v>2585.1</v>
      </c>
      <c r="O31" s="14">
        <v>-264.25</v>
      </c>
      <c r="P31" s="4"/>
      <c r="Q31" s="14">
        <v>1317.4</v>
      </c>
      <c r="R31" s="14">
        <v>2994.25</v>
      </c>
      <c r="S31" s="14">
        <v>-306.25</v>
      </c>
    </row>
    <row r="32" spans="1:19" ht="12.75">
      <c r="A32" s="5">
        <f t="shared" si="0"/>
        <v>18</v>
      </c>
      <c r="B32" s="24" t="s">
        <v>137</v>
      </c>
      <c r="C32" s="4">
        <f t="shared" si="2"/>
        <v>30857.75</v>
      </c>
      <c r="D32" s="4">
        <f t="shared" si="5"/>
        <v>36895.6</v>
      </c>
      <c r="E32" s="4"/>
      <c r="F32" s="4"/>
      <c r="G32" s="4">
        <f t="shared" si="3"/>
        <v>33877</v>
      </c>
      <c r="H32" s="4"/>
      <c r="I32" s="4">
        <f t="shared" si="4"/>
        <v>0</v>
      </c>
      <c r="J32" s="4">
        <f t="shared" si="4"/>
        <v>0</v>
      </c>
      <c r="K32" s="4">
        <f t="shared" si="4"/>
        <v>33876.675</v>
      </c>
      <c r="L32" s="4"/>
      <c r="M32" s="14">
        <v>0</v>
      </c>
      <c r="N32" s="14">
        <v>0</v>
      </c>
      <c r="O32" s="14">
        <v>30857.75</v>
      </c>
      <c r="P32" s="4"/>
      <c r="Q32" s="14">
        <v>0</v>
      </c>
      <c r="R32" s="14">
        <v>0</v>
      </c>
      <c r="S32" s="14">
        <v>36895.6</v>
      </c>
    </row>
    <row r="33" spans="1:19" ht="12.75">
      <c r="A33" s="5">
        <f t="shared" si="0"/>
        <v>19</v>
      </c>
      <c r="B33" s="24" t="s">
        <v>136</v>
      </c>
      <c r="C33" s="4">
        <f t="shared" si="2"/>
        <v>27244.97</v>
      </c>
      <c r="D33" s="4">
        <f t="shared" si="5"/>
        <v>39251.85</v>
      </c>
      <c r="E33" s="4"/>
      <c r="F33" s="4"/>
      <c r="G33" s="4">
        <f t="shared" si="3"/>
        <v>33248</v>
      </c>
      <c r="H33" s="4"/>
      <c r="I33" s="4">
        <f t="shared" si="4"/>
        <v>0</v>
      </c>
      <c r="J33" s="4">
        <f t="shared" si="4"/>
        <v>33248.41</v>
      </c>
      <c r="K33" s="4">
        <f t="shared" si="4"/>
        <v>0</v>
      </c>
      <c r="L33" s="4"/>
      <c r="M33" s="14">
        <v>0</v>
      </c>
      <c r="N33" s="14">
        <v>27244.97</v>
      </c>
      <c r="O33" s="14">
        <v>0</v>
      </c>
      <c r="P33" s="4"/>
      <c r="Q33" s="14">
        <v>0</v>
      </c>
      <c r="R33" s="14">
        <v>39251.85</v>
      </c>
      <c r="S33" s="14">
        <v>0</v>
      </c>
    </row>
    <row r="34" spans="1:19" ht="12.75">
      <c r="A34" s="5">
        <f t="shared" si="0"/>
        <v>20</v>
      </c>
      <c r="B34" s="24" t="s">
        <v>135</v>
      </c>
      <c r="C34" s="4">
        <f>SUM(M34:O34)</f>
        <v>1142943.55</v>
      </c>
      <c r="D34" s="4">
        <f t="shared" si="5"/>
        <v>1142943.55</v>
      </c>
      <c r="E34" s="4"/>
      <c r="F34" s="4"/>
      <c r="G34" s="4">
        <f t="shared" si="3"/>
        <v>1142944</v>
      </c>
      <c r="H34" s="4"/>
      <c r="I34" s="4">
        <f t="shared" si="4"/>
        <v>1130873.45</v>
      </c>
      <c r="J34" s="4">
        <f t="shared" si="4"/>
        <v>12070.1</v>
      </c>
      <c r="K34" s="4">
        <f t="shared" si="4"/>
        <v>0</v>
      </c>
      <c r="L34" s="4"/>
      <c r="M34" s="14">
        <v>1130873.45</v>
      </c>
      <c r="N34" s="14">
        <v>12070.1</v>
      </c>
      <c r="O34" s="14">
        <v>0</v>
      </c>
      <c r="P34" s="4"/>
      <c r="Q34" s="14">
        <v>1130873.45</v>
      </c>
      <c r="R34" s="14">
        <v>12070.1</v>
      </c>
      <c r="S34" s="14">
        <v>0</v>
      </c>
    </row>
    <row r="35" spans="1:19" ht="12.75">
      <c r="A35" s="5">
        <f t="shared" si="0"/>
        <v>21</v>
      </c>
      <c r="B35" s="7" t="s">
        <v>466</v>
      </c>
      <c r="C35" s="4">
        <f t="shared" si="2"/>
        <v>5792538.8</v>
      </c>
      <c r="D35" s="4">
        <f t="shared" si="5"/>
        <v>6136303.7</v>
      </c>
      <c r="E35" s="4"/>
      <c r="F35" s="4"/>
      <c r="G35" s="4">
        <f t="shared" si="3"/>
        <v>5964421</v>
      </c>
      <c r="H35" s="4"/>
      <c r="I35" s="4">
        <f t="shared" si="4"/>
        <v>0</v>
      </c>
      <c r="J35" s="4">
        <f t="shared" si="4"/>
        <v>5964421.25</v>
      </c>
      <c r="K35" s="4">
        <f t="shared" si="4"/>
        <v>0</v>
      </c>
      <c r="L35" s="4"/>
      <c r="M35" s="14">
        <v>0</v>
      </c>
      <c r="N35" s="14">
        <v>5792538.8</v>
      </c>
      <c r="O35" s="14">
        <v>0</v>
      </c>
      <c r="P35" s="4"/>
      <c r="Q35" s="14">
        <v>0</v>
      </c>
      <c r="R35" s="14">
        <v>6136303.7</v>
      </c>
      <c r="S35" s="14">
        <v>0</v>
      </c>
    </row>
    <row r="36" spans="1:19" ht="12.75">
      <c r="A36" s="5">
        <f t="shared" si="0"/>
        <v>22</v>
      </c>
      <c r="B36" s="7" t="s">
        <v>134</v>
      </c>
      <c r="C36" s="4">
        <f t="shared" si="2"/>
        <v>24695529.97</v>
      </c>
      <c r="D36" s="4">
        <f t="shared" si="5"/>
        <v>19623647.64</v>
      </c>
      <c r="E36" s="4"/>
      <c r="F36" s="4"/>
      <c r="G36" s="4">
        <f t="shared" si="3"/>
        <v>22159589</v>
      </c>
      <c r="H36" s="4"/>
      <c r="I36" s="4">
        <f t="shared" si="4"/>
        <v>22159588.805</v>
      </c>
      <c r="J36" s="4">
        <f t="shared" si="4"/>
        <v>0</v>
      </c>
      <c r="K36" s="4">
        <f t="shared" si="4"/>
        <v>0</v>
      </c>
      <c r="L36" s="4"/>
      <c r="M36" s="14">
        <v>24695529.97</v>
      </c>
      <c r="N36" s="14">
        <v>0</v>
      </c>
      <c r="O36" s="14">
        <v>0</v>
      </c>
      <c r="P36" s="4"/>
      <c r="Q36" s="14">
        <v>19623647.64</v>
      </c>
      <c r="R36" s="14">
        <v>0</v>
      </c>
      <c r="S36" s="14">
        <v>0</v>
      </c>
    </row>
    <row r="37" spans="1:19" ht="12.75">
      <c r="A37" s="5">
        <f t="shared" si="0"/>
        <v>23</v>
      </c>
      <c r="B37" s="7" t="s">
        <v>132</v>
      </c>
      <c r="C37" s="4">
        <f t="shared" si="2"/>
        <v>4360925.1</v>
      </c>
      <c r="D37" s="4">
        <f t="shared" si="5"/>
        <v>0</v>
      </c>
      <c r="E37" s="4"/>
      <c r="F37" s="4"/>
      <c r="G37" s="4">
        <f t="shared" si="3"/>
        <v>2180463</v>
      </c>
      <c r="H37" s="4"/>
      <c r="I37" s="4">
        <f t="shared" si="4"/>
        <v>2180462.55</v>
      </c>
      <c r="J37" s="4">
        <f t="shared" si="4"/>
        <v>0</v>
      </c>
      <c r="K37" s="4">
        <f t="shared" si="4"/>
        <v>0</v>
      </c>
      <c r="L37" s="4"/>
      <c r="M37" s="14">
        <v>4360925.1</v>
      </c>
      <c r="N37" s="14">
        <v>0</v>
      </c>
      <c r="O37" s="14">
        <v>0</v>
      </c>
      <c r="P37" s="4"/>
      <c r="Q37" s="14">
        <v>0</v>
      </c>
      <c r="R37" s="14">
        <v>0</v>
      </c>
      <c r="S37" s="14">
        <v>0</v>
      </c>
    </row>
    <row r="38" spans="1:19" ht="12.75">
      <c r="A38" s="5">
        <f t="shared" si="0"/>
        <v>24</v>
      </c>
      <c r="B38" s="7" t="s">
        <v>131</v>
      </c>
      <c r="C38" s="4">
        <f t="shared" si="2"/>
        <v>25697295.72</v>
      </c>
      <c r="D38" s="4">
        <f t="shared" si="5"/>
        <v>25254608.67</v>
      </c>
      <c r="E38" s="4"/>
      <c r="F38" s="4"/>
      <c r="G38" s="4">
        <f t="shared" si="3"/>
        <v>25475952</v>
      </c>
      <c r="H38" s="4"/>
      <c r="I38" s="4">
        <f t="shared" si="4"/>
        <v>6755384.065</v>
      </c>
      <c r="J38" s="4">
        <f t="shared" si="4"/>
        <v>2983372.875</v>
      </c>
      <c r="K38" s="4">
        <f t="shared" si="4"/>
        <v>15737195.255</v>
      </c>
      <c r="L38" s="4"/>
      <c r="M38" s="14">
        <v>6925704.69</v>
      </c>
      <c r="N38" s="14">
        <v>2951345.45</v>
      </c>
      <c r="O38" s="14">
        <v>15820245.58</v>
      </c>
      <c r="P38" s="4"/>
      <c r="Q38" s="14">
        <v>6585063.44</v>
      </c>
      <c r="R38" s="14">
        <v>3015400.3</v>
      </c>
      <c r="S38" s="14">
        <v>15654144.930000002</v>
      </c>
    </row>
    <row r="39" spans="1:19" ht="12.75">
      <c r="A39" s="5">
        <f t="shared" si="0"/>
        <v>25</v>
      </c>
      <c r="B39" s="7" t="s">
        <v>130</v>
      </c>
      <c r="C39" s="4">
        <f t="shared" si="2"/>
        <v>-2538773.12</v>
      </c>
      <c r="D39" s="4">
        <f t="shared" si="5"/>
        <v>-2149115.67</v>
      </c>
      <c r="E39" s="4"/>
      <c r="F39" s="4"/>
      <c r="G39" s="4">
        <f t="shared" si="3"/>
        <v>-2343944</v>
      </c>
      <c r="H39" s="4"/>
      <c r="I39" s="4">
        <f t="shared" si="4"/>
        <v>-2343944.395</v>
      </c>
      <c r="J39" s="4">
        <f t="shared" si="4"/>
        <v>0</v>
      </c>
      <c r="K39" s="4">
        <f t="shared" si="4"/>
        <v>0</v>
      </c>
      <c r="L39" s="4"/>
      <c r="M39" s="14">
        <v>-2538773.12</v>
      </c>
      <c r="N39" s="14">
        <v>0</v>
      </c>
      <c r="O39" s="14">
        <v>0</v>
      </c>
      <c r="P39" s="4"/>
      <c r="Q39" s="14">
        <v>-2149115.67</v>
      </c>
      <c r="R39" s="14">
        <v>0</v>
      </c>
      <c r="S39" s="14">
        <v>0</v>
      </c>
    </row>
    <row r="40" spans="1:19" ht="12.75">
      <c r="A40" s="5">
        <f t="shared" si="0"/>
        <v>26</v>
      </c>
      <c r="B40" s="8" t="s">
        <v>129</v>
      </c>
      <c r="C40" s="4">
        <f t="shared" si="2"/>
        <v>4413672.6899999995</v>
      </c>
      <c r="D40" s="4">
        <f t="shared" si="5"/>
        <v>4371158.07</v>
      </c>
      <c r="E40" s="4"/>
      <c r="F40" s="4"/>
      <c r="G40" s="4">
        <f t="shared" si="3"/>
        <v>4392415</v>
      </c>
      <c r="H40" s="4"/>
      <c r="I40" s="4">
        <f t="shared" si="4"/>
        <v>2011584.6649999998</v>
      </c>
      <c r="J40" s="4">
        <f t="shared" si="4"/>
        <v>1343077.715</v>
      </c>
      <c r="K40" s="4">
        <f t="shared" si="4"/>
        <v>1037753</v>
      </c>
      <c r="L40" s="4"/>
      <c r="M40" s="14">
        <v>2071401.0199999998</v>
      </c>
      <c r="N40" s="14">
        <v>1320450.37</v>
      </c>
      <c r="O40" s="14">
        <v>1021821.2999999998</v>
      </c>
      <c r="P40" s="4"/>
      <c r="Q40" s="14">
        <v>1951768.3099999998</v>
      </c>
      <c r="R40" s="14">
        <v>1365705.06</v>
      </c>
      <c r="S40" s="14">
        <v>1053684.7000000002</v>
      </c>
    </row>
    <row r="41" spans="1:19" ht="12.75">
      <c r="A41" s="5">
        <f t="shared" si="0"/>
        <v>27</v>
      </c>
      <c r="B41" s="7" t="s">
        <v>467</v>
      </c>
      <c r="C41" s="4">
        <f t="shared" si="2"/>
        <v>125974.62</v>
      </c>
      <c r="D41" s="4">
        <f t="shared" si="5"/>
        <v>133421.62</v>
      </c>
      <c r="E41" s="4"/>
      <c r="F41" s="4"/>
      <c r="G41" s="4">
        <f t="shared" si="3"/>
        <v>129698</v>
      </c>
      <c r="H41" s="4"/>
      <c r="I41" s="4">
        <f t="shared" si="4"/>
        <v>0</v>
      </c>
      <c r="J41" s="4">
        <f t="shared" si="4"/>
        <v>129698.12</v>
      </c>
      <c r="K41" s="4">
        <f t="shared" si="4"/>
        <v>0</v>
      </c>
      <c r="L41" s="4"/>
      <c r="M41" s="14">
        <v>0</v>
      </c>
      <c r="N41" s="14">
        <v>125974.62</v>
      </c>
      <c r="O41" s="14">
        <v>0</v>
      </c>
      <c r="P41" s="4"/>
      <c r="Q41" s="14">
        <v>0</v>
      </c>
      <c r="R41" s="14">
        <v>133421.62</v>
      </c>
      <c r="S41" s="14">
        <v>0</v>
      </c>
    </row>
    <row r="42" spans="1:19" ht="12.75">
      <c r="A42" s="5">
        <f t="shared" si="0"/>
        <v>28</v>
      </c>
      <c r="B42" s="7" t="s">
        <v>468</v>
      </c>
      <c r="C42" s="4">
        <f t="shared" si="2"/>
        <v>0.43999999947845936</v>
      </c>
      <c r="D42" s="4">
        <f aca="true" t="shared" si="6" ref="D42:D50">SUM(Q42:S42)</f>
        <v>0.43999999947845936</v>
      </c>
      <c r="E42" s="4"/>
      <c r="F42" s="4"/>
      <c r="G42" s="4">
        <f t="shared" si="3"/>
        <v>0</v>
      </c>
      <c r="H42" s="4"/>
      <c r="I42" s="4">
        <f t="shared" si="4"/>
        <v>0</v>
      </c>
      <c r="J42" s="4">
        <f t="shared" si="4"/>
        <v>0.43999999947845936</v>
      </c>
      <c r="K42" s="4">
        <f t="shared" si="4"/>
        <v>0</v>
      </c>
      <c r="L42" s="4"/>
      <c r="M42" s="14">
        <v>0</v>
      </c>
      <c r="N42" s="14">
        <v>0.43999999947845936</v>
      </c>
      <c r="O42" s="14">
        <v>0</v>
      </c>
      <c r="P42" s="4"/>
      <c r="Q42" s="14">
        <v>0</v>
      </c>
      <c r="R42" s="14">
        <v>0.43999999947845936</v>
      </c>
      <c r="S42" s="14">
        <v>0</v>
      </c>
    </row>
    <row r="43" spans="1:19" ht="12.75">
      <c r="A43" s="5">
        <f t="shared" si="0"/>
        <v>29</v>
      </c>
      <c r="B43" s="8" t="s">
        <v>125</v>
      </c>
      <c r="C43" s="4">
        <f t="shared" si="2"/>
        <v>-0.21000000002095476</v>
      </c>
      <c r="D43" s="4">
        <f t="shared" si="6"/>
        <v>3157.789999999979</v>
      </c>
      <c r="E43" s="4"/>
      <c r="F43" s="4"/>
      <c r="G43" s="4">
        <f t="shared" si="3"/>
        <v>1579</v>
      </c>
      <c r="H43" s="4"/>
      <c r="I43" s="4">
        <f t="shared" si="4"/>
        <v>387.3400000000256</v>
      </c>
      <c r="J43" s="4">
        <f t="shared" si="4"/>
        <v>544.4499999999534</v>
      </c>
      <c r="K43" s="4">
        <f t="shared" si="4"/>
        <v>647</v>
      </c>
      <c r="L43" s="4"/>
      <c r="M43" s="14">
        <v>-0.15999999997438863</v>
      </c>
      <c r="N43" s="14">
        <v>-0.05000000004656613</v>
      </c>
      <c r="O43" s="14">
        <v>0</v>
      </c>
      <c r="P43" s="4"/>
      <c r="Q43" s="14">
        <v>774.8400000000256</v>
      </c>
      <c r="R43" s="14">
        <v>1088.9499999999534</v>
      </c>
      <c r="S43" s="14">
        <v>1294</v>
      </c>
    </row>
    <row r="44" spans="1:19" ht="12.75">
      <c r="A44" s="5">
        <f t="shared" si="0"/>
        <v>30</v>
      </c>
      <c r="B44" s="8" t="s">
        <v>124</v>
      </c>
      <c r="C44" s="4">
        <f t="shared" si="2"/>
        <v>-0.13999999999214197</v>
      </c>
      <c r="D44" s="4">
        <f t="shared" si="6"/>
        <v>-179.13999999999214</v>
      </c>
      <c r="E44" s="4"/>
      <c r="F44" s="4"/>
      <c r="G44" s="4">
        <f t="shared" si="3"/>
        <v>-90</v>
      </c>
      <c r="H44" s="4"/>
      <c r="I44" s="4">
        <f t="shared" si="4"/>
        <v>-22.12999999999738</v>
      </c>
      <c r="J44" s="4">
        <f t="shared" si="4"/>
        <v>-31.179999999993015</v>
      </c>
      <c r="K44" s="4">
        <f t="shared" si="4"/>
        <v>-36.330000000001746</v>
      </c>
      <c r="L44" s="4"/>
      <c r="M44" s="14">
        <v>-0.12999999999738066</v>
      </c>
      <c r="N44" s="14">
        <v>-0.17999999999301508</v>
      </c>
      <c r="O44" s="14">
        <v>0.16999999999825377</v>
      </c>
      <c r="P44" s="4"/>
      <c r="Q44" s="14">
        <v>-44.12999999999738</v>
      </c>
      <c r="R44" s="14">
        <v>-62.179999999993015</v>
      </c>
      <c r="S44" s="14">
        <v>-72.83000000000175</v>
      </c>
    </row>
    <row r="45" spans="1:19" ht="12.75">
      <c r="A45" s="5">
        <f t="shared" si="0"/>
        <v>31</v>
      </c>
      <c r="B45" s="8" t="s">
        <v>123</v>
      </c>
      <c r="C45" s="4">
        <f t="shared" si="2"/>
        <v>-47.25</v>
      </c>
      <c r="D45" s="4">
        <f t="shared" si="6"/>
        <v>-47.25</v>
      </c>
      <c r="E45" s="4"/>
      <c r="F45" s="4"/>
      <c r="G45" s="4">
        <f t="shared" si="3"/>
        <v>-47</v>
      </c>
      <c r="H45" s="4"/>
      <c r="I45" s="4">
        <f t="shared" si="4"/>
        <v>0</v>
      </c>
      <c r="J45" s="4">
        <f t="shared" si="4"/>
        <v>-47.25</v>
      </c>
      <c r="K45" s="4">
        <f t="shared" si="4"/>
        <v>0</v>
      </c>
      <c r="L45" s="4"/>
      <c r="M45" s="14">
        <v>0</v>
      </c>
      <c r="N45" s="14">
        <v>-47.25</v>
      </c>
      <c r="O45" s="14">
        <v>0</v>
      </c>
      <c r="P45" s="4"/>
      <c r="Q45" s="14">
        <v>0</v>
      </c>
      <c r="R45" s="14">
        <v>-47.25</v>
      </c>
      <c r="S45" s="14">
        <v>0</v>
      </c>
    </row>
    <row r="46" spans="1:19" ht="12.75">
      <c r="A46" s="5">
        <f t="shared" si="0"/>
        <v>32</v>
      </c>
      <c r="B46" s="8" t="s">
        <v>122</v>
      </c>
      <c r="C46" s="4">
        <f t="shared" si="2"/>
        <v>-0.15999999999985448</v>
      </c>
      <c r="D46" s="4">
        <f t="shared" si="6"/>
        <v>483.84000000000015</v>
      </c>
      <c r="E46" s="4"/>
      <c r="F46" s="4"/>
      <c r="G46" s="4">
        <f t="shared" si="3"/>
        <v>242</v>
      </c>
      <c r="H46" s="4"/>
      <c r="I46" s="4">
        <f t="shared" si="4"/>
        <v>59.590000000000146</v>
      </c>
      <c r="J46" s="4">
        <f t="shared" si="4"/>
        <v>83.25</v>
      </c>
      <c r="K46" s="4">
        <f t="shared" si="4"/>
        <v>99</v>
      </c>
      <c r="L46" s="4"/>
      <c r="M46" s="14">
        <v>0.09000000000014552</v>
      </c>
      <c r="N46" s="14">
        <v>-0.25</v>
      </c>
      <c r="O46" s="14">
        <v>0</v>
      </c>
      <c r="P46" s="4"/>
      <c r="Q46" s="14">
        <v>119.09000000000015</v>
      </c>
      <c r="R46" s="14">
        <v>166.75</v>
      </c>
      <c r="S46" s="14">
        <v>198</v>
      </c>
    </row>
    <row r="47" spans="1:19" ht="12.75">
      <c r="A47" s="5">
        <f t="shared" si="0"/>
        <v>33</v>
      </c>
      <c r="B47" s="8" t="s">
        <v>121</v>
      </c>
      <c r="C47" s="4">
        <f t="shared" si="2"/>
        <v>5341131.030000001</v>
      </c>
      <c r="D47" s="4">
        <f t="shared" si="6"/>
        <v>5813088.030000001</v>
      </c>
      <c r="E47" s="4"/>
      <c r="F47" s="4"/>
      <c r="G47" s="4">
        <f t="shared" si="3"/>
        <v>5577110</v>
      </c>
      <c r="H47" s="4"/>
      <c r="I47" s="4">
        <f t="shared" si="4"/>
        <v>2831240.51</v>
      </c>
      <c r="J47" s="4">
        <f t="shared" si="4"/>
        <v>351542.1499999999</v>
      </c>
      <c r="K47" s="4">
        <f t="shared" si="4"/>
        <v>2394326.870000001</v>
      </c>
      <c r="L47" s="4"/>
      <c r="M47" s="14">
        <v>2750560.01</v>
      </c>
      <c r="N47" s="14">
        <v>326975.6499999999</v>
      </c>
      <c r="O47" s="14">
        <v>2263595.370000001</v>
      </c>
      <c r="P47" s="4"/>
      <c r="Q47" s="14">
        <v>2911921.01</v>
      </c>
      <c r="R47" s="14">
        <v>376108.6499999999</v>
      </c>
      <c r="S47" s="14">
        <v>2525058.370000001</v>
      </c>
    </row>
    <row r="48" spans="1:19" ht="12.75">
      <c r="A48" s="5">
        <f t="shared" si="0"/>
        <v>34</v>
      </c>
      <c r="B48" s="7" t="s">
        <v>120</v>
      </c>
      <c r="C48" s="4">
        <f t="shared" si="2"/>
        <v>13910301.65</v>
      </c>
      <c r="D48" s="4">
        <f t="shared" si="6"/>
        <v>8590307.6</v>
      </c>
      <c r="E48" s="4"/>
      <c r="F48" s="4"/>
      <c r="G48" s="4">
        <f t="shared" si="3"/>
        <v>11250305</v>
      </c>
      <c r="H48" s="4"/>
      <c r="I48" s="4">
        <f t="shared" si="4"/>
        <v>11250304.625</v>
      </c>
      <c r="J48" s="4">
        <f t="shared" si="4"/>
        <v>0</v>
      </c>
      <c r="K48" s="4">
        <f t="shared" si="4"/>
        <v>0</v>
      </c>
      <c r="L48" s="4"/>
      <c r="M48" s="14">
        <v>13910301.65</v>
      </c>
      <c r="N48" s="14">
        <v>0</v>
      </c>
      <c r="O48" s="14">
        <v>0</v>
      </c>
      <c r="P48" s="4"/>
      <c r="Q48" s="14">
        <v>8590307.6</v>
      </c>
      <c r="R48" s="14">
        <v>0</v>
      </c>
      <c r="S48" s="14">
        <v>0</v>
      </c>
    </row>
    <row r="49" spans="1:19" ht="12.75">
      <c r="A49" s="5">
        <f t="shared" si="0"/>
        <v>35</v>
      </c>
      <c r="B49" s="7" t="s">
        <v>119</v>
      </c>
      <c r="C49" s="4">
        <f t="shared" si="2"/>
        <v>23820144.95</v>
      </c>
      <c r="D49" s="4">
        <f t="shared" si="6"/>
        <v>16561784.75</v>
      </c>
      <c r="E49" s="4"/>
      <c r="F49" s="4"/>
      <c r="G49" s="4">
        <f t="shared" si="3"/>
        <v>20190965</v>
      </c>
      <c r="H49" s="4"/>
      <c r="I49" s="4">
        <f t="shared" si="4"/>
        <v>20190964.85</v>
      </c>
      <c r="J49" s="4">
        <f t="shared" si="4"/>
        <v>0</v>
      </c>
      <c r="K49" s="4">
        <f t="shared" si="4"/>
        <v>0</v>
      </c>
      <c r="L49" s="4"/>
      <c r="M49" s="14">
        <v>23820144.95</v>
      </c>
      <c r="N49" s="14">
        <v>0</v>
      </c>
      <c r="O49" s="14">
        <v>0</v>
      </c>
      <c r="P49" s="4"/>
      <c r="Q49" s="14">
        <v>16561784.75</v>
      </c>
      <c r="R49" s="14">
        <v>0</v>
      </c>
      <c r="S49" s="14">
        <v>0</v>
      </c>
    </row>
    <row r="50" spans="1:19" ht="12.75">
      <c r="A50" s="5">
        <f t="shared" si="0"/>
        <v>36</v>
      </c>
      <c r="B50" s="8" t="s">
        <v>118</v>
      </c>
      <c r="C50" s="4">
        <f t="shared" si="2"/>
        <v>580280.2000000001</v>
      </c>
      <c r="D50" s="4">
        <f t="shared" si="6"/>
        <v>364464.35000000003</v>
      </c>
      <c r="E50" s="4"/>
      <c r="F50" s="4"/>
      <c r="G50" s="4">
        <f t="shared" si="3"/>
        <v>472372</v>
      </c>
      <c r="H50" s="4"/>
      <c r="I50" s="4">
        <f t="shared" si="4"/>
        <v>0</v>
      </c>
      <c r="J50" s="4">
        <f t="shared" si="4"/>
        <v>-7922.3499999999985</v>
      </c>
      <c r="K50" s="4">
        <f t="shared" si="4"/>
        <v>480294.625</v>
      </c>
      <c r="L50" s="4"/>
      <c r="M50" s="14">
        <v>0</v>
      </c>
      <c r="N50" s="14">
        <v>-7505.8499999999985</v>
      </c>
      <c r="O50" s="14">
        <v>587786.05</v>
      </c>
      <c r="P50" s="4"/>
      <c r="Q50" s="14">
        <v>0</v>
      </c>
      <c r="R50" s="14">
        <v>-8338.849999999999</v>
      </c>
      <c r="S50" s="14">
        <v>372803.2</v>
      </c>
    </row>
    <row r="51" spans="1:19" ht="12.75">
      <c r="A51" s="5">
        <f t="shared" si="0"/>
        <v>37</v>
      </c>
      <c r="B51" s="7" t="s">
        <v>113</v>
      </c>
      <c r="C51" s="4">
        <f>SUM(M51:O51)</f>
        <v>0</v>
      </c>
      <c r="D51" s="4">
        <f>SUM(Q51:S51)</f>
        <v>0</v>
      </c>
      <c r="E51" s="4"/>
      <c r="F51" s="4"/>
      <c r="G51" s="4">
        <f t="shared" si="3"/>
        <v>0</v>
      </c>
      <c r="H51" s="4"/>
      <c r="I51" s="4">
        <f t="shared" si="4"/>
        <v>0</v>
      </c>
      <c r="J51" s="4">
        <f t="shared" si="4"/>
        <v>0</v>
      </c>
      <c r="K51" s="4">
        <f t="shared" si="4"/>
        <v>0</v>
      </c>
      <c r="L51" s="4"/>
      <c r="M51" s="14">
        <v>0</v>
      </c>
      <c r="N51" s="14">
        <v>0</v>
      </c>
      <c r="O51" s="14">
        <v>0</v>
      </c>
      <c r="P51" s="4"/>
      <c r="Q51" s="14">
        <v>0</v>
      </c>
      <c r="R51" s="14">
        <v>0</v>
      </c>
      <c r="S51" s="14">
        <v>0</v>
      </c>
    </row>
    <row r="52" spans="1:19" ht="12.75">
      <c r="A52" s="5">
        <f t="shared" si="0"/>
        <v>38</v>
      </c>
      <c r="B52" s="7" t="s">
        <v>109</v>
      </c>
      <c r="C52" s="4">
        <f>SUM(M52:O52)</f>
        <v>0</v>
      </c>
      <c r="D52" s="4">
        <f>SUM(Q52:S52)</f>
        <v>5373871</v>
      </c>
      <c r="E52" s="4"/>
      <c r="F52" s="4"/>
      <c r="G52" s="4">
        <f t="shared" si="3"/>
        <v>2686936</v>
      </c>
      <c r="H52" s="4"/>
      <c r="I52" s="4">
        <f t="shared" si="4"/>
        <v>2686935.5</v>
      </c>
      <c r="J52" s="4">
        <f t="shared" si="4"/>
        <v>0</v>
      </c>
      <c r="K52" s="4">
        <f t="shared" si="4"/>
        <v>0</v>
      </c>
      <c r="L52" s="4"/>
      <c r="M52" s="14">
        <v>0</v>
      </c>
      <c r="N52" s="14">
        <v>0</v>
      </c>
      <c r="O52" s="14">
        <v>0</v>
      </c>
      <c r="P52" s="4"/>
      <c r="Q52" s="14">
        <v>5373871</v>
      </c>
      <c r="R52" s="14">
        <v>0</v>
      </c>
      <c r="S52" s="14">
        <v>0</v>
      </c>
    </row>
    <row r="53" spans="1:19" ht="12.75">
      <c r="A53" s="5">
        <f t="shared" si="0"/>
        <v>39</v>
      </c>
      <c r="B53" s="7" t="s">
        <v>469</v>
      </c>
      <c r="C53" s="4">
        <f>SUM(M53:O53)</f>
        <v>979300</v>
      </c>
      <c r="D53" s="4">
        <f>SUM(Q53:S53)</f>
        <v>0</v>
      </c>
      <c r="E53" s="4"/>
      <c r="F53" s="4"/>
      <c r="G53" s="4">
        <f t="shared" si="3"/>
        <v>489650</v>
      </c>
      <c r="H53" s="4"/>
      <c r="I53" s="4">
        <f t="shared" si="4"/>
        <v>489650</v>
      </c>
      <c r="J53" s="4">
        <f t="shared" si="4"/>
        <v>0</v>
      </c>
      <c r="K53" s="4">
        <f t="shared" si="4"/>
        <v>0</v>
      </c>
      <c r="L53" s="4"/>
      <c r="M53" s="14">
        <v>979300</v>
      </c>
      <c r="N53" s="14">
        <v>0</v>
      </c>
      <c r="O53" s="14">
        <v>0</v>
      </c>
      <c r="P53" s="4"/>
      <c r="Q53" s="14">
        <v>0</v>
      </c>
      <c r="R53" s="14">
        <v>0</v>
      </c>
      <c r="S53" s="14">
        <v>0</v>
      </c>
    </row>
    <row r="54" spans="1:19" ht="12.75">
      <c r="A54" s="5">
        <f t="shared" si="0"/>
        <v>40</v>
      </c>
      <c r="B54" s="7" t="s">
        <v>106</v>
      </c>
      <c r="C54" s="4">
        <f>SUM(M54:O54)</f>
        <v>0</v>
      </c>
      <c r="D54" s="4">
        <f>SUM(Q54:S54)</f>
        <v>0</v>
      </c>
      <c r="E54" s="4"/>
      <c r="F54" s="4"/>
      <c r="G54" s="4">
        <f t="shared" si="3"/>
        <v>0</v>
      </c>
      <c r="H54" s="4"/>
      <c r="I54" s="4">
        <f t="shared" si="4"/>
        <v>0</v>
      </c>
      <c r="J54" s="4">
        <f t="shared" si="4"/>
        <v>0</v>
      </c>
      <c r="K54" s="4">
        <f t="shared" si="4"/>
        <v>0</v>
      </c>
      <c r="L54" s="4"/>
      <c r="M54" s="14">
        <v>0</v>
      </c>
      <c r="N54" s="14">
        <v>0</v>
      </c>
      <c r="O54" s="14">
        <v>0</v>
      </c>
      <c r="P54" s="4"/>
      <c r="Q54" s="14">
        <v>0</v>
      </c>
      <c r="R54" s="14">
        <v>0</v>
      </c>
      <c r="S54" s="14">
        <v>0</v>
      </c>
    </row>
    <row r="55" spans="1:19" ht="12.75">
      <c r="A55" s="5">
        <f t="shared" si="0"/>
        <v>41</v>
      </c>
      <c r="B55" s="8" t="s">
        <v>16</v>
      </c>
      <c r="C55" s="4">
        <f>SUM(P55:R55)</f>
        <v>0</v>
      </c>
      <c r="D55" s="4">
        <f>SUM(Q55:S55)</f>
        <v>0</v>
      </c>
      <c r="E55" s="4">
        <f aca="true" t="shared" si="7" ref="E55:F57">-C55</f>
        <v>0</v>
      </c>
      <c r="F55" s="4">
        <f t="shared" si="7"/>
        <v>0</v>
      </c>
      <c r="G55" s="4">
        <f t="shared" si="3"/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5">
        <f t="shared" si="0"/>
        <v>42</v>
      </c>
      <c r="B56" s="8" t="s">
        <v>105</v>
      </c>
      <c r="C56" s="9">
        <v>51761719.62</v>
      </c>
      <c r="D56" s="9">
        <v>56215247.99</v>
      </c>
      <c r="E56" s="4">
        <f t="shared" si="7"/>
        <v>-51761719.62</v>
      </c>
      <c r="F56" s="4">
        <f t="shared" si="7"/>
        <v>-56215247.99</v>
      </c>
      <c r="G56" s="4">
        <f t="shared" si="3"/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5">
        <f t="shared" si="0"/>
        <v>43</v>
      </c>
      <c r="B57" s="8" t="s">
        <v>104</v>
      </c>
      <c r="C57" s="9">
        <v>-451018</v>
      </c>
      <c r="D57" s="9">
        <v>-545001</v>
      </c>
      <c r="E57" s="4">
        <f t="shared" si="7"/>
        <v>451018</v>
      </c>
      <c r="F57" s="4">
        <f t="shared" si="7"/>
        <v>545001</v>
      </c>
      <c r="G57" s="4">
        <f t="shared" si="3"/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5">
        <f t="shared" si="0"/>
        <v>44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3.5" thickBot="1">
      <c r="A59" s="5">
        <f t="shared" si="0"/>
        <v>45</v>
      </c>
      <c r="B59" s="8" t="s">
        <v>103</v>
      </c>
      <c r="C59" s="6">
        <f>SUM(C28:C58)</f>
        <v>379980277.98</v>
      </c>
      <c r="D59" s="6">
        <f>SUM(D28:D58)</f>
        <v>407120031.7800001</v>
      </c>
      <c r="E59" s="6">
        <f>SUM(E28:E58)</f>
        <v>-51310701.62</v>
      </c>
      <c r="F59" s="6">
        <f>SUM(F28:F58)</f>
        <v>-55670246.99</v>
      </c>
      <c r="G59" s="6">
        <f>SUM(G28:G58)</f>
        <v>340059682</v>
      </c>
      <c r="H59" s="4"/>
      <c r="I59" s="6">
        <f>SUM(I28:I58)</f>
        <v>155500027.07500002</v>
      </c>
      <c r="J59" s="6">
        <f>SUM(J28:J58)</f>
        <v>78888570.455</v>
      </c>
      <c r="K59" s="6">
        <f>SUM(K28:K58)</f>
        <v>105671083.04499999</v>
      </c>
      <c r="L59" s="4"/>
      <c r="M59" s="6">
        <f>SUM(M28:M58)</f>
        <v>140951204.62</v>
      </c>
      <c r="N59" s="6">
        <f>SUM(N28:N58)</f>
        <v>79380821.07</v>
      </c>
      <c r="O59" s="6">
        <f>SUM(O28:O58)</f>
        <v>108337550.67</v>
      </c>
      <c r="P59" s="4"/>
      <c r="Q59" s="6">
        <f>SUM(Q28:Q58)</f>
        <v>170048849.53000003</v>
      </c>
      <c r="R59" s="6">
        <f>SUM(R28:R58)</f>
        <v>78396319.84</v>
      </c>
      <c r="S59" s="6">
        <f>SUM(S28:S58)</f>
        <v>103004615.42</v>
      </c>
    </row>
    <row r="60" spans="1:19" ht="13.5" thickTop="1">
      <c r="A60" s="5">
        <f t="shared" si="0"/>
        <v>46</v>
      </c>
      <c r="C60" s="3"/>
      <c r="D60" s="3"/>
      <c r="E60" s="3"/>
      <c r="F60" s="3"/>
      <c r="G60" s="3"/>
      <c r="H60" s="4"/>
      <c r="I60" s="3"/>
      <c r="J60" s="3"/>
      <c r="K60" s="3"/>
      <c r="L60" s="4"/>
      <c r="M60" s="3"/>
      <c r="N60" s="3"/>
      <c r="O60" s="3"/>
      <c r="P60" s="4"/>
      <c r="Q60" s="3"/>
      <c r="R60" s="3"/>
      <c r="S60" s="3"/>
    </row>
    <row r="61" spans="1:19" ht="12.75">
      <c r="A61" s="5">
        <f t="shared" si="0"/>
        <v>47</v>
      </c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5">
        <f t="shared" si="0"/>
        <v>48</v>
      </c>
      <c r="B62" s="7" t="s">
        <v>102</v>
      </c>
      <c r="C62" s="4" t="s">
        <v>101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5">
        <f t="shared" si="0"/>
        <v>49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5">
        <f t="shared" si="0"/>
        <v>50</v>
      </c>
      <c r="B64" s="7" t="s">
        <v>470</v>
      </c>
      <c r="C64" s="4">
        <f aca="true" t="shared" si="8" ref="C64:C107">SUM(M64:O64)</f>
        <v>1695588.71</v>
      </c>
      <c r="D64" s="4">
        <f aca="true" t="shared" si="9" ref="D64:D107">SUM(Q64:S64)</f>
        <v>0</v>
      </c>
      <c r="E64" s="4"/>
      <c r="F64" s="4"/>
      <c r="G64" s="4">
        <f aca="true" t="shared" si="10" ref="G64:G111">ROUND(SUM(C64:F64)/2,0)</f>
        <v>847794</v>
      </c>
      <c r="H64" s="4"/>
      <c r="I64" s="4">
        <f aca="true" t="shared" si="11" ref="I64:K107">(+M64+Q64)/2</f>
        <v>0</v>
      </c>
      <c r="J64" s="4">
        <f t="shared" si="11"/>
        <v>0</v>
      </c>
      <c r="K64" s="4">
        <f t="shared" si="11"/>
        <v>847794.355</v>
      </c>
      <c r="L64" s="4"/>
      <c r="M64" s="14">
        <v>0</v>
      </c>
      <c r="N64" s="14">
        <v>0</v>
      </c>
      <c r="O64" s="14">
        <v>1695588.71</v>
      </c>
      <c r="P64" s="4"/>
      <c r="Q64" s="14">
        <v>0</v>
      </c>
      <c r="R64" s="14">
        <v>0</v>
      </c>
      <c r="S64" s="14">
        <v>0</v>
      </c>
    </row>
    <row r="65" spans="1:19" ht="12.75">
      <c r="A65" s="5">
        <f t="shared" si="0"/>
        <v>51</v>
      </c>
      <c r="B65" s="7" t="s">
        <v>471</v>
      </c>
      <c r="C65" s="4">
        <f>SUM(M65:O65)</f>
        <v>2489332.86</v>
      </c>
      <c r="D65" s="4">
        <f t="shared" si="9"/>
        <v>1776271.12</v>
      </c>
      <c r="E65" s="4"/>
      <c r="F65" s="4"/>
      <c r="G65" s="4">
        <f t="shared" si="10"/>
        <v>2132802</v>
      </c>
      <c r="H65" s="4"/>
      <c r="I65" s="4">
        <f t="shared" si="11"/>
        <v>2132801.99</v>
      </c>
      <c r="J65" s="4">
        <f t="shared" si="11"/>
        <v>0</v>
      </c>
      <c r="K65" s="4">
        <f t="shared" si="11"/>
        <v>0</v>
      </c>
      <c r="L65" s="4"/>
      <c r="M65" s="14">
        <v>2489332.86</v>
      </c>
      <c r="N65" s="14">
        <v>0</v>
      </c>
      <c r="O65" s="14">
        <v>0</v>
      </c>
      <c r="P65" s="4"/>
      <c r="Q65" s="14">
        <v>1776271.12</v>
      </c>
      <c r="R65" s="14">
        <v>0</v>
      </c>
      <c r="S65" s="14">
        <v>0</v>
      </c>
    </row>
    <row r="66" spans="1:19" ht="12.75">
      <c r="A66" s="5">
        <f t="shared" si="0"/>
        <v>52</v>
      </c>
      <c r="B66" s="7" t="s">
        <v>472</v>
      </c>
      <c r="C66" s="4">
        <f t="shared" si="8"/>
        <v>244085.05</v>
      </c>
      <c r="D66" s="4">
        <f t="shared" si="9"/>
        <v>50248.75</v>
      </c>
      <c r="E66" s="4"/>
      <c r="F66" s="4"/>
      <c r="G66" s="4">
        <f t="shared" si="10"/>
        <v>147167</v>
      </c>
      <c r="H66" s="4"/>
      <c r="I66" s="4">
        <f t="shared" si="11"/>
        <v>147166.9</v>
      </c>
      <c r="J66" s="4">
        <f t="shared" si="11"/>
        <v>0</v>
      </c>
      <c r="K66" s="4">
        <f t="shared" si="11"/>
        <v>0</v>
      </c>
      <c r="L66" s="4"/>
      <c r="M66" s="14">
        <v>244085.05</v>
      </c>
      <c r="N66" s="14">
        <v>0</v>
      </c>
      <c r="O66" s="14">
        <v>0</v>
      </c>
      <c r="P66" s="4"/>
      <c r="Q66" s="14">
        <v>50248.75</v>
      </c>
      <c r="R66" s="14">
        <v>0</v>
      </c>
      <c r="S66" s="14">
        <v>0</v>
      </c>
    </row>
    <row r="67" spans="1:19" ht="12.75">
      <c r="A67" s="5">
        <f t="shared" si="0"/>
        <v>53</v>
      </c>
      <c r="B67" s="7" t="s">
        <v>473</v>
      </c>
      <c r="C67" s="4">
        <f t="shared" si="8"/>
        <v>1530089.66</v>
      </c>
      <c r="D67" s="4">
        <f t="shared" si="9"/>
        <v>1767315.69</v>
      </c>
      <c r="E67" s="4"/>
      <c r="F67" s="4"/>
      <c r="G67" s="4">
        <f t="shared" si="10"/>
        <v>1648703</v>
      </c>
      <c r="H67" s="4"/>
      <c r="I67" s="4">
        <f t="shared" si="11"/>
        <v>1648702.6749999998</v>
      </c>
      <c r="J67" s="4">
        <f t="shared" si="11"/>
        <v>0</v>
      </c>
      <c r="K67" s="4">
        <f t="shared" si="11"/>
        <v>0</v>
      </c>
      <c r="L67" s="4"/>
      <c r="M67" s="14">
        <v>1530089.66</v>
      </c>
      <c r="N67" s="14">
        <v>0</v>
      </c>
      <c r="O67" s="14">
        <v>0</v>
      </c>
      <c r="P67" s="4"/>
      <c r="Q67" s="14">
        <v>1767315.69</v>
      </c>
      <c r="R67" s="14">
        <v>0</v>
      </c>
      <c r="S67" s="14">
        <v>0</v>
      </c>
    </row>
    <row r="68" spans="1:19" ht="12.75">
      <c r="A68" s="5">
        <f t="shared" si="0"/>
        <v>54</v>
      </c>
      <c r="B68" s="7" t="s">
        <v>91</v>
      </c>
      <c r="C68" s="4">
        <f>SUM(M68:O68)</f>
        <v>779091.31</v>
      </c>
      <c r="D68" s="4">
        <f>SUM(Q68:S68)</f>
        <v>1146067.5</v>
      </c>
      <c r="E68" s="4"/>
      <c r="F68" s="4"/>
      <c r="G68" s="4">
        <f>ROUND(SUM(C68:F68)/2,0)</f>
        <v>962579</v>
      </c>
      <c r="H68" s="4"/>
      <c r="I68" s="4">
        <f t="shared" si="11"/>
        <v>962579.405</v>
      </c>
      <c r="J68" s="4">
        <f t="shared" si="11"/>
        <v>0</v>
      </c>
      <c r="K68" s="4">
        <f t="shared" si="11"/>
        <v>0</v>
      </c>
      <c r="L68" s="4"/>
      <c r="M68" s="14">
        <v>779091.31</v>
      </c>
      <c r="N68" s="14">
        <v>0</v>
      </c>
      <c r="O68" s="14">
        <v>0</v>
      </c>
      <c r="P68" s="4"/>
      <c r="Q68" s="14">
        <v>1146067.5</v>
      </c>
      <c r="R68" s="14">
        <v>0</v>
      </c>
      <c r="S68" s="14">
        <v>0</v>
      </c>
    </row>
    <row r="69" spans="1:19" ht="12.75">
      <c r="A69" s="5">
        <f t="shared" si="0"/>
        <v>55</v>
      </c>
      <c r="B69" s="8" t="s">
        <v>89</v>
      </c>
      <c r="C69" s="4">
        <f t="shared" si="8"/>
        <v>866584.95</v>
      </c>
      <c r="D69" s="4">
        <f t="shared" si="9"/>
        <v>2125021.5</v>
      </c>
      <c r="E69" s="4"/>
      <c r="F69" s="4"/>
      <c r="G69" s="4">
        <f t="shared" si="10"/>
        <v>1495803</v>
      </c>
      <c r="H69" s="4"/>
      <c r="I69" s="4">
        <f t="shared" si="11"/>
        <v>1495803.225</v>
      </c>
      <c r="J69" s="4">
        <f t="shared" si="11"/>
        <v>0</v>
      </c>
      <c r="K69" s="4">
        <f t="shared" si="11"/>
        <v>0</v>
      </c>
      <c r="L69" s="4"/>
      <c r="M69" s="14">
        <v>866584.95</v>
      </c>
      <c r="N69" s="14">
        <v>0</v>
      </c>
      <c r="O69" s="14">
        <v>0</v>
      </c>
      <c r="P69" s="4"/>
      <c r="Q69" s="14">
        <v>2125021.5</v>
      </c>
      <c r="R69" s="14">
        <v>0</v>
      </c>
      <c r="S69" s="14">
        <v>0</v>
      </c>
    </row>
    <row r="70" spans="1:19" ht="12.75">
      <c r="A70" s="5">
        <f t="shared" si="0"/>
        <v>56</v>
      </c>
      <c r="B70" s="7" t="s">
        <v>88</v>
      </c>
      <c r="C70" s="4">
        <f t="shared" si="8"/>
        <v>-136441.55</v>
      </c>
      <c r="D70" s="4">
        <f>SUM(Q70:S70)</f>
        <v>-136441.2</v>
      </c>
      <c r="E70" s="4"/>
      <c r="F70" s="4"/>
      <c r="G70" s="4">
        <f>ROUND(SUM(C70:F70)/2,0)</f>
        <v>-136441</v>
      </c>
      <c r="H70" s="4"/>
      <c r="I70" s="4">
        <f t="shared" si="11"/>
        <v>-136441.375</v>
      </c>
      <c r="J70" s="4">
        <f t="shared" si="11"/>
        <v>0</v>
      </c>
      <c r="K70" s="4">
        <f t="shared" si="11"/>
        <v>0</v>
      </c>
      <c r="L70" s="4"/>
      <c r="M70" s="14">
        <v>-136441.55</v>
      </c>
      <c r="N70" s="14">
        <v>0</v>
      </c>
      <c r="O70" s="14">
        <v>0</v>
      </c>
      <c r="P70" s="4"/>
      <c r="Q70" s="14">
        <v>-136441.2</v>
      </c>
      <c r="R70" s="14">
        <v>0</v>
      </c>
      <c r="S70" s="14">
        <v>0</v>
      </c>
    </row>
    <row r="71" spans="1:19" ht="12.75">
      <c r="A71" s="5">
        <f t="shared" si="0"/>
        <v>57</v>
      </c>
      <c r="B71" s="7" t="s">
        <v>474</v>
      </c>
      <c r="C71" s="4">
        <f t="shared" si="8"/>
        <v>0</v>
      </c>
      <c r="D71" s="4">
        <f t="shared" si="9"/>
        <v>0</v>
      </c>
      <c r="E71" s="4"/>
      <c r="F71" s="4"/>
      <c r="G71" s="4">
        <f t="shared" si="10"/>
        <v>0</v>
      </c>
      <c r="H71" s="4"/>
      <c r="I71" s="4">
        <f t="shared" si="11"/>
        <v>0</v>
      </c>
      <c r="J71" s="4">
        <f t="shared" si="11"/>
        <v>0</v>
      </c>
      <c r="K71" s="4">
        <f t="shared" si="11"/>
        <v>0</v>
      </c>
      <c r="L71" s="4"/>
      <c r="M71" s="14">
        <v>0</v>
      </c>
      <c r="N71" s="14">
        <v>0</v>
      </c>
      <c r="O71" s="14">
        <v>0</v>
      </c>
      <c r="P71" s="4"/>
      <c r="Q71" s="14">
        <v>0</v>
      </c>
      <c r="R71" s="14">
        <v>0</v>
      </c>
      <c r="S71" s="14">
        <v>0</v>
      </c>
    </row>
    <row r="72" spans="1:19" ht="12.75">
      <c r="A72" s="5">
        <f t="shared" si="0"/>
        <v>58</v>
      </c>
      <c r="B72" s="7" t="s">
        <v>87</v>
      </c>
      <c r="C72" s="4">
        <f>SUM(M72:O72)</f>
        <v>0</v>
      </c>
      <c r="D72" s="4">
        <f>SUM(Q72:S72)</f>
        <v>0</v>
      </c>
      <c r="E72" s="4"/>
      <c r="F72" s="4"/>
      <c r="G72" s="4">
        <f>ROUND(SUM(C72:F72)/2,0)</f>
        <v>0</v>
      </c>
      <c r="H72" s="4"/>
      <c r="I72" s="4">
        <f t="shared" si="11"/>
        <v>0</v>
      </c>
      <c r="J72" s="4">
        <f t="shared" si="11"/>
        <v>0</v>
      </c>
      <c r="K72" s="4">
        <f t="shared" si="11"/>
        <v>0</v>
      </c>
      <c r="L72" s="4"/>
      <c r="M72" s="14">
        <v>0</v>
      </c>
      <c r="N72" s="14">
        <v>0</v>
      </c>
      <c r="O72" s="14">
        <v>0</v>
      </c>
      <c r="P72" s="4"/>
      <c r="Q72" s="14">
        <v>0</v>
      </c>
      <c r="R72" s="14">
        <v>0</v>
      </c>
      <c r="S72" s="14">
        <v>0</v>
      </c>
    </row>
    <row r="73" spans="1:19" ht="12.75">
      <c r="A73" s="5">
        <f t="shared" si="0"/>
        <v>59</v>
      </c>
      <c r="B73" s="7" t="s">
        <v>86</v>
      </c>
      <c r="C73" s="4">
        <f t="shared" si="8"/>
        <v>-21658989.630000003</v>
      </c>
      <c r="D73" s="4">
        <f>SUM(Q73:S73)</f>
        <v>-18830977.9</v>
      </c>
      <c r="E73" s="4"/>
      <c r="F73" s="4"/>
      <c r="G73" s="4">
        <f>ROUND(SUM(C73:F73)/2,0)</f>
        <v>-20244984</v>
      </c>
      <c r="H73" s="4"/>
      <c r="I73" s="4">
        <f t="shared" si="11"/>
        <v>-11975634.915</v>
      </c>
      <c r="J73" s="4">
        <f t="shared" si="11"/>
        <v>-747019.7</v>
      </c>
      <c r="K73" s="4">
        <f t="shared" si="11"/>
        <v>-7522329.15</v>
      </c>
      <c r="L73" s="4"/>
      <c r="M73" s="14">
        <v>-13281506.88</v>
      </c>
      <c r="N73" s="14">
        <v>-879974.55</v>
      </c>
      <c r="O73" s="14">
        <v>-7497508.2</v>
      </c>
      <c r="P73" s="4"/>
      <c r="Q73" s="14">
        <v>-10669762.95</v>
      </c>
      <c r="R73" s="14">
        <v>-614064.85</v>
      </c>
      <c r="S73" s="14">
        <v>-7547150.1</v>
      </c>
    </row>
    <row r="74" spans="1:19" ht="12.75">
      <c r="A74" s="5">
        <f t="shared" si="0"/>
        <v>60</v>
      </c>
      <c r="B74" s="7" t="s">
        <v>85</v>
      </c>
      <c r="C74" s="4">
        <f t="shared" si="8"/>
        <v>121099.11</v>
      </c>
      <c r="D74" s="4">
        <f>SUM(Q74:S74)</f>
        <v>145926.29</v>
      </c>
      <c r="E74" s="4"/>
      <c r="F74" s="4"/>
      <c r="G74" s="4">
        <f>ROUND(SUM(C74:F74)/2,0)</f>
        <v>133513</v>
      </c>
      <c r="H74" s="4"/>
      <c r="I74" s="4">
        <f t="shared" si="11"/>
        <v>0</v>
      </c>
      <c r="J74" s="4">
        <f t="shared" si="11"/>
        <v>133512.7</v>
      </c>
      <c r="K74" s="4">
        <f t="shared" si="11"/>
        <v>0</v>
      </c>
      <c r="L74" s="4"/>
      <c r="M74" s="14">
        <v>0</v>
      </c>
      <c r="N74" s="14">
        <v>121099.11</v>
      </c>
      <c r="O74" s="14">
        <v>0</v>
      </c>
      <c r="P74" s="4"/>
      <c r="Q74" s="14">
        <v>0</v>
      </c>
      <c r="R74" s="14">
        <v>145926.29</v>
      </c>
      <c r="S74" s="14">
        <v>0</v>
      </c>
    </row>
    <row r="75" spans="1:19" ht="12.75">
      <c r="A75" s="5">
        <f t="shared" si="0"/>
        <v>61</v>
      </c>
      <c r="B75" s="7" t="s">
        <v>78</v>
      </c>
      <c r="C75" s="4">
        <f t="shared" si="8"/>
        <v>1516337.7</v>
      </c>
      <c r="D75" s="4">
        <f t="shared" si="9"/>
        <v>125097.71</v>
      </c>
      <c r="E75" s="4"/>
      <c r="F75" s="4"/>
      <c r="G75" s="4">
        <f t="shared" si="10"/>
        <v>820718</v>
      </c>
      <c r="H75" s="4"/>
      <c r="I75" s="4">
        <f t="shared" si="11"/>
        <v>0</v>
      </c>
      <c r="J75" s="4">
        <f t="shared" si="11"/>
        <v>0</v>
      </c>
      <c r="K75" s="4">
        <f t="shared" si="11"/>
        <v>820717.705</v>
      </c>
      <c r="L75" s="4"/>
      <c r="M75" s="14">
        <v>0</v>
      </c>
      <c r="N75" s="14">
        <v>0</v>
      </c>
      <c r="O75" s="14">
        <v>1516337.7</v>
      </c>
      <c r="P75" s="4"/>
      <c r="Q75" s="14">
        <v>0</v>
      </c>
      <c r="R75" s="14">
        <v>0</v>
      </c>
      <c r="S75" s="14">
        <v>125097.71</v>
      </c>
    </row>
    <row r="76" spans="1:19" ht="12.75">
      <c r="A76" s="5">
        <f t="shared" si="0"/>
        <v>62</v>
      </c>
      <c r="B76" s="7" t="s">
        <v>76</v>
      </c>
      <c r="C76" s="4">
        <f t="shared" si="8"/>
        <v>3772598.35</v>
      </c>
      <c r="D76" s="4">
        <f t="shared" si="9"/>
        <v>4348701.85</v>
      </c>
      <c r="E76" s="4"/>
      <c r="F76" s="4"/>
      <c r="G76" s="4">
        <f t="shared" si="10"/>
        <v>4060650</v>
      </c>
      <c r="H76" s="4"/>
      <c r="I76" s="4">
        <f t="shared" si="11"/>
        <v>4060650.0999999996</v>
      </c>
      <c r="J76" s="4">
        <f t="shared" si="11"/>
        <v>0</v>
      </c>
      <c r="K76" s="4">
        <f t="shared" si="11"/>
        <v>0</v>
      </c>
      <c r="L76" s="4"/>
      <c r="M76" s="14">
        <v>3772598.35</v>
      </c>
      <c r="N76" s="14">
        <v>0</v>
      </c>
      <c r="O76" s="14">
        <v>0</v>
      </c>
      <c r="P76" s="4"/>
      <c r="Q76" s="14">
        <v>4348701.85</v>
      </c>
      <c r="R76" s="14">
        <v>0</v>
      </c>
      <c r="S76" s="14">
        <v>0</v>
      </c>
    </row>
    <row r="77" spans="1:19" ht="12.75">
      <c r="A77" s="5">
        <f t="shared" si="0"/>
        <v>63</v>
      </c>
      <c r="B77" s="7" t="s">
        <v>77</v>
      </c>
      <c r="C77" s="4">
        <f>SUM(M77:O77)</f>
        <v>108006</v>
      </c>
      <c r="D77" s="4">
        <f>SUM(Q77:S77)</f>
        <v>108006</v>
      </c>
      <c r="E77" s="4"/>
      <c r="F77" s="4"/>
      <c r="G77" s="4">
        <f>ROUND(SUM(C77:F77)/2,0)</f>
        <v>108006</v>
      </c>
      <c r="H77" s="4"/>
      <c r="I77" s="4">
        <f t="shared" si="11"/>
        <v>108006</v>
      </c>
      <c r="J77" s="4">
        <f t="shared" si="11"/>
        <v>0</v>
      </c>
      <c r="K77" s="4">
        <f t="shared" si="11"/>
        <v>0</v>
      </c>
      <c r="L77" s="4"/>
      <c r="M77" s="14">
        <v>108006</v>
      </c>
      <c r="N77" s="14">
        <v>0</v>
      </c>
      <c r="O77" s="14">
        <v>0</v>
      </c>
      <c r="P77" s="4"/>
      <c r="Q77" s="14">
        <v>108006</v>
      </c>
      <c r="R77" s="14">
        <v>0</v>
      </c>
      <c r="S77" s="14">
        <v>0</v>
      </c>
    </row>
    <row r="78" spans="1:19" ht="12.75">
      <c r="A78" s="5">
        <f t="shared" si="0"/>
        <v>64</v>
      </c>
      <c r="B78" s="8" t="s">
        <v>75</v>
      </c>
      <c r="C78" s="4">
        <f t="shared" si="8"/>
        <v>-239417.55</v>
      </c>
      <c r="D78" s="4">
        <f t="shared" si="9"/>
        <v>-239417.55</v>
      </c>
      <c r="E78" s="4"/>
      <c r="F78" s="4"/>
      <c r="G78" s="4">
        <f t="shared" si="10"/>
        <v>-239418</v>
      </c>
      <c r="H78" s="4"/>
      <c r="I78" s="4">
        <f t="shared" si="11"/>
        <v>-239417.55</v>
      </c>
      <c r="J78" s="4">
        <f t="shared" si="11"/>
        <v>0</v>
      </c>
      <c r="K78" s="4">
        <f t="shared" si="11"/>
        <v>0</v>
      </c>
      <c r="L78" s="4"/>
      <c r="M78" s="14">
        <v>-239417.55</v>
      </c>
      <c r="N78" s="14">
        <v>0</v>
      </c>
      <c r="O78" s="14">
        <v>0</v>
      </c>
      <c r="P78" s="4"/>
      <c r="Q78" s="14">
        <v>-239417.55</v>
      </c>
      <c r="R78" s="14">
        <v>0</v>
      </c>
      <c r="S78" s="14">
        <v>0</v>
      </c>
    </row>
    <row r="79" spans="1:19" ht="12.75">
      <c r="A79" s="5">
        <f t="shared" si="0"/>
        <v>65</v>
      </c>
      <c r="B79" s="8" t="s">
        <v>74</v>
      </c>
      <c r="C79" s="4">
        <f t="shared" si="8"/>
        <v>-8301.55</v>
      </c>
      <c r="D79" s="4">
        <f t="shared" si="9"/>
        <v>-8301.55</v>
      </c>
      <c r="E79" s="4"/>
      <c r="F79" s="4"/>
      <c r="G79" s="4">
        <f t="shared" si="10"/>
        <v>-8302</v>
      </c>
      <c r="H79" s="4"/>
      <c r="I79" s="4">
        <f t="shared" si="11"/>
        <v>-8301.55</v>
      </c>
      <c r="J79" s="4">
        <f t="shared" si="11"/>
        <v>0</v>
      </c>
      <c r="K79" s="4">
        <f t="shared" si="11"/>
        <v>0</v>
      </c>
      <c r="L79" s="4"/>
      <c r="M79" s="14">
        <v>-8301.55</v>
      </c>
      <c r="N79" s="14">
        <v>0</v>
      </c>
      <c r="O79" s="14">
        <v>0</v>
      </c>
      <c r="P79" s="4"/>
      <c r="Q79" s="14">
        <v>-8301.55</v>
      </c>
      <c r="R79" s="14">
        <v>0</v>
      </c>
      <c r="S79" s="14">
        <v>0</v>
      </c>
    </row>
    <row r="80" spans="1:19" ht="12.75">
      <c r="A80" s="5">
        <f aca="true" t="shared" si="12" ref="A80:A136">A79+1</f>
        <v>66</v>
      </c>
      <c r="B80" s="8" t="s">
        <v>233</v>
      </c>
      <c r="C80" s="4">
        <f>SUM(M80:O80)</f>
        <v>87244</v>
      </c>
      <c r="D80" s="4">
        <f t="shared" si="9"/>
        <v>87244</v>
      </c>
      <c r="E80" s="4"/>
      <c r="F80" s="4"/>
      <c r="G80" s="4">
        <f t="shared" si="10"/>
        <v>87244</v>
      </c>
      <c r="H80" s="4"/>
      <c r="I80" s="4">
        <f t="shared" si="11"/>
        <v>87244</v>
      </c>
      <c r="J80" s="4">
        <f t="shared" si="11"/>
        <v>0</v>
      </c>
      <c r="K80" s="4">
        <f t="shared" si="11"/>
        <v>0</v>
      </c>
      <c r="L80" s="4"/>
      <c r="M80" s="14">
        <v>87244</v>
      </c>
      <c r="N80" s="14">
        <v>0</v>
      </c>
      <c r="O80" s="14">
        <v>0</v>
      </c>
      <c r="P80" s="4"/>
      <c r="Q80" s="14">
        <v>87244</v>
      </c>
      <c r="R80" s="14">
        <v>0</v>
      </c>
      <c r="S80" s="14">
        <v>0</v>
      </c>
    </row>
    <row r="81" spans="1:19" ht="12.75">
      <c r="A81" s="5">
        <f t="shared" si="12"/>
        <v>67</v>
      </c>
      <c r="B81" s="8" t="s">
        <v>70</v>
      </c>
      <c r="C81" s="4">
        <f>SUM(M81:O81)</f>
        <v>0</v>
      </c>
      <c r="D81" s="4">
        <f t="shared" si="9"/>
        <v>2900491.48</v>
      </c>
      <c r="E81" s="4"/>
      <c r="F81" s="4"/>
      <c r="G81" s="4">
        <f t="shared" si="10"/>
        <v>1450246</v>
      </c>
      <c r="H81" s="4"/>
      <c r="I81" s="4">
        <f t="shared" si="11"/>
        <v>1450245.74</v>
      </c>
      <c r="J81" s="4">
        <f t="shared" si="11"/>
        <v>0</v>
      </c>
      <c r="K81" s="4">
        <f t="shared" si="11"/>
        <v>0</v>
      </c>
      <c r="L81" s="4"/>
      <c r="M81" s="14">
        <v>0</v>
      </c>
      <c r="N81" s="14">
        <v>0</v>
      </c>
      <c r="O81" s="14">
        <v>0</v>
      </c>
      <c r="P81" s="4"/>
      <c r="Q81" s="14">
        <v>2900491.48</v>
      </c>
      <c r="R81" s="14">
        <v>0</v>
      </c>
      <c r="S81" s="14">
        <v>0</v>
      </c>
    </row>
    <row r="82" spans="1:19" ht="12.75">
      <c r="A82" s="5">
        <f t="shared" si="12"/>
        <v>68</v>
      </c>
      <c r="B82" s="7" t="s">
        <v>69</v>
      </c>
      <c r="C82" s="4">
        <f t="shared" si="8"/>
        <v>18263536.55</v>
      </c>
      <c r="D82" s="4">
        <f t="shared" si="9"/>
        <v>15435524.82</v>
      </c>
      <c r="E82" s="4"/>
      <c r="F82" s="4"/>
      <c r="G82" s="4">
        <f t="shared" si="10"/>
        <v>16849531</v>
      </c>
      <c r="H82" s="4"/>
      <c r="I82" s="4">
        <f t="shared" si="11"/>
        <v>8580181.835</v>
      </c>
      <c r="J82" s="4">
        <f t="shared" si="11"/>
        <v>747019.7</v>
      </c>
      <c r="K82" s="4">
        <f t="shared" si="11"/>
        <v>7522329.15</v>
      </c>
      <c r="L82" s="4"/>
      <c r="M82" s="14">
        <v>9886053.8</v>
      </c>
      <c r="N82" s="14">
        <v>879974.55</v>
      </c>
      <c r="O82" s="14">
        <v>7497508.2</v>
      </c>
      <c r="P82" s="4"/>
      <c r="Q82" s="14">
        <v>7274309.87</v>
      </c>
      <c r="R82" s="14">
        <v>614064.85</v>
      </c>
      <c r="S82" s="14">
        <v>7547150.1</v>
      </c>
    </row>
    <row r="83" spans="1:19" ht="12.75">
      <c r="A83" s="5">
        <f t="shared" si="12"/>
        <v>69</v>
      </c>
      <c r="B83" s="7" t="s">
        <v>68</v>
      </c>
      <c r="C83" s="4">
        <f t="shared" si="8"/>
        <v>-43420.649999999994</v>
      </c>
      <c r="D83" s="4">
        <f t="shared" si="9"/>
        <v>-39359.95</v>
      </c>
      <c r="E83" s="4"/>
      <c r="F83" s="4"/>
      <c r="G83" s="4">
        <f t="shared" si="10"/>
        <v>-41390</v>
      </c>
      <c r="H83" s="4"/>
      <c r="I83" s="4">
        <f t="shared" si="11"/>
        <v>-53.2</v>
      </c>
      <c r="J83" s="4">
        <f t="shared" si="11"/>
        <v>0</v>
      </c>
      <c r="K83" s="4">
        <f t="shared" si="11"/>
        <v>-41337.1</v>
      </c>
      <c r="L83" s="4"/>
      <c r="M83" s="14">
        <v>-53.2</v>
      </c>
      <c r="N83" s="14">
        <v>0</v>
      </c>
      <c r="O83" s="14">
        <v>-43367.45</v>
      </c>
      <c r="P83" s="4"/>
      <c r="Q83" s="14">
        <v>-53.2</v>
      </c>
      <c r="R83" s="14">
        <v>0</v>
      </c>
      <c r="S83" s="14">
        <v>-39306.75</v>
      </c>
    </row>
    <row r="84" spans="1:19" ht="12.75">
      <c r="A84" s="5">
        <f t="shared" si="12"/>
        <v>70</v>
      </c>
      <c r="B84" s="7" t="s">
        <v>67</v>
      </c>
      <c r="C84" s="4">
        <f t="shared" si="8"/>
        <v>220294.64</v>
      </c>
      <c r="D84" s="4">
        <f t="shared" si="9"/>
        <v>-2635027.01</v>
      </c>
      <c r="E84" s="4"/>
      <c r="F84" s="4"/>
      <c r="G84" s="4">
        <f t="shared" si="10"/>
        <v>-1207366</v>
      </c>
      <c r="H84" s="4"/>
      <c r="I84" s="4">
        <f t="shared" si="11"/>
        <v>-753770.825</v>
      </c>
      <c r="J84" s="4">
        <f t="shared" si="11"/>
        <v>23536.385000000002</v>
      </c>
      <c r="K84" s="4">
        <f t="shared" si="11"/>
        <v>-477131.74500000005</v>
      </c>
      <c r="L84" s="4"/>
      <c r="M84" s="14">
        <v>-117457.4</v>
      </c>
      <c r="N84" s="14">
        <v>120792.7</v>
      </c>
      <c r="O84" s="14">
        <v>216959.34</v>
      </c>
      <c r="P84" s="4"/>
      <c r="Q84" s="14">
        <v>-1390084.25</v>
      </c>
      <c r="R84" s="14">
        <v>-73719.93</v>
      </c>
      <c r="S84" s="14">
        <v>-1171222.83</v>
      </c>
    </row>
    <row r="85" spans="1:19" ht="12.75">
      <c r="A85" s="5">
        <f t="shared" si="12"/>
        <v>71</v>
      </c>
      <c r="B85" s="7" t="s">
        <v>58</v>
      </c>
      <c r="C85" s="4">
        <f>SUM(M85:O85)</f>
        <v>299390.4</v>
      </c>
      <c r="D85" s="4">
        <f t="shared" si="9"/>
        <v>305500.41</v>
      </c>
      <c r="E85" s="4"/>
      <c r="F85" s="4"/>
      <c r="G85" s="4">
        <f t="shared" si="10"/>
        <v>302445</v>
      </c>
      <c r="H85" s="4"/>
      <c r="I85" s="4">
        <f t="shared" si="11"/>
        <v>302445.405</v>
      </c>
      <c r="J85" s="4">
        <f t="shared" si="11"/>
        <v>0</v>
      </c>
      <c r="K85" s="4">
        <f t="shared" si="11"/>
        <v>0</v>
      </c>
      <c r="L85" s="4"/>
      <c r="M85" s="14">
        <v>299390.4</v>
      </c>
      <c r="N85" s="14">
        <v>0</v>
      </c>
      <c r="O85" s="14">
        <v>0</v>
      </c>
      <c r="P85" s="4"/>
      <c r="Q85" s="14">
        <v>305500.41</v>
      </c>
      <c r="R85" s="14">
        <v>0</v>
      </c>
      <c r="S85" s="14">
        <v>0</v>
      </c>
    </row>
    <row r="86" spans="1:19" ht="12.75">
      <c r="A86" s="5">
        <f t="shared" si="12"/>
        <v>72</v>
      </c>
      <c r="B86" s="7" t="s">
        <v>475</v>
      </c>
      <c r="C86" s="4">
        <f>SUM(M86:O86)</f>
        <v>0</v>
      </c>
      <c r="D86" s="4">
        <f t="shared" si="9"/>
        <v>218181.89</v>
      </c>
      <c r="E86" s="4"/>
      <c r="F86" s="4"/>
      <c r="G86" s="4">
        <f t="shared" si="10"/>
        <v>109091</v>
      </c>
      <c r="H86" s="4"/>
      <c r="I86" s="4">
        <f t="shared" si="11"/>
        <v>109090.945</v>
      </c>
      <c r="J86" s="4">
        <f t="shared" si="11"/>
        <v>0</v>
      </c>
      <c r="K86" s="4">
        <f t="shared" si="11"/>
        <v>0</v>
      </c>
      <c r="L86" s="4"/>
      <c r="M86" s="14">
        <v>0</v>
      </c>
      <c r="N86" s="14">
        <v>0</v>
      </c>
      <c r="O86" s="14">
        <v>0</v>
      </c>
      <c r="P86" s="4"/>
      <c r="Q86" s="14">
        <v>218181.89</v>
      </c>
      <c r="R86" s="14">
        <v>0</v>
      </c>
      <c r="S86" s="14">
        <v>0</v>
      </c>
    </row>
    <row r="87" spans="1:19" ht="12.75">
      <c r="A87" s="5">
        <f t="shared" si="12"/>
        <v>73</v>
      </c>
      <c r="B87" s="7" t="s">
        <v>476</v>
      </c>
      <c r="C87" s="4">
        <f aca="true" t="shared" si="13" ref="C87:C100">SUM(M87:O87)</f>
        <v>1715892.64</v>
      </c>
      <c r="D87" s="4">
        <f t="shared" si="9"/>
        <v>0</v>
      </c>
      <c r="E87" s="4"/>
      <c r="F87" s="4"/>
      <c r="G87" s="4">
        <f t="shared" si="10"/>
        <v>857946</v>
      </c>
      <c r="H87" s="4"/>
      <c r="I87" s="4">
        <f t="shared" si="11"/>
        <v>857946.32</v>
      </c>
      <c r="J87" s="4">
        <f t="shared" si="11"/>
        <v>0</v>
      </c>
      <c r="K87" s="4">
        <f t="shared" si="11"/>
        <v>0</v>
      </c>
      <c r="L87" s="4"/>
      <c r="M87" s="14">
        <v>1715892.64</v>
      </c>
      <c r="N87" s="14">
        <v>0</v>
      </c>
      <c r="O87" s="14">
        <v>0</v>
      </c>
      <c r="P87" s="4"/>
      <c r="Q87" s="14">
        <v>0</v>
      </c>
      <c r="R87" s="14">
        <v>0</v>
      </c>
      <c r="S87" s="14">
        <v>0</v>
      </c>
    </row>
    <row r="88" spans="1:19" ht="12.75">
      <c r="A88" s="5">
        <f t="shared" si="12"/>
        <v>74</v>
      </c>
      <c r="B88" s="7" t="s">
        <v>477</v>
      </c>
      <c r="C88" s="4">
        <f t="shared" si="13"/>
        <v>-228739.32</v>
      </c>
      <c r="D88" s="4">
        <f t="shared" si="9"/>
        <v>0</v>
      </c>
      <c r="E88" s="4"/>
      <c r="F88" s="4"/>
      <c r="G88" s="4">
        <f t="shared" si="10"/>
        <v>-114370</v>
      </c>
      <c r="H88" s="4"/>
      <c r="I88" s="4">
        <f t="shared" si="11"/>
        <v>-114369.66</v>
      </c>
      <c r="J88" s="4">
        <f t="shared" si="11"/>
        <v>0</v>
      </c>
      <c r="K88" s="4">
        <f t="shared" si="11"/>
        <v>0</v>
      </c>
      <c r="L88" s="4"/>
      <c r="M88" s="14">
        <v>-228739.32</v>
      </c>
      <c r="N88" s="14">
        <v>0</v>
      </c>
      <c r="O88" s="14">
        <v>0</v>
      </c>
      <c r="P88" s="4"/>
      <c r="Q88" s="14">
        <v>0</v>
      </c>
      <c r="R88" s="14">
        <v>0</v>
      </c>
      <c r="S88" s="14">
        <v>0</v>
      </c>
    </row>
    <row r="89" spans="1:19" ht="12.75">
      <c r="A89" s="5">
        <f t="shared" si="12"/>
        <v>75</v>
      </c>
      <c r="B89" s="7" t="s">
        <v>478</v>
      </c>
      <c r="C89" s="4">
        <f t="shared" si="13"/>
        <v>260560.95</v>
      </c>
      <c r="D89" s="4">
        <f t="shared" si="9"/>
        <v>0</v>
      </c>
      <c r="E89" s="4"/>
      <c r="F89" s="4"/>
      <c r="G89" s="4">
        <f t="shared" si="10"/>
        <v>130280</v>
      </c>
      <c r="H89" s="4"/>
      <c r="I89" s="4">
        <f t="shared" si="11"/>
        <v>130280.475</v>
      </c>
      <c r="J89" s="4">
        <f t="shared" si="11"/>
        <v>0</v>
      </c>
      <c r="K89" s="4">
        <f t="shared" si="11"/>
        <v>0</v>
      </c>
      <c r="L89" s="4"/>
      <c r="M89" s="14">
        <v>260560.95</v>
      </c>
      <c r="N89" s="14">
        <v>0</v>
      </c>
      <c r="O89" s="14">
        <v>0</v>
      </c>
      <c r="P89" s="4"/>
      <c r="Q89" s="14">
        <v>0</v>
      </c>
      <c r="R89" s="14">
        <v>0</v>
      </c>
      <c r="S89" s="14">
        <v>0</v>
      </c>
    </row>
    <row r="90" spans="1:19" ht="12.75">
      <c r="A90" s="5">
        <f t="shared" si="12"/>
        <v>76</v>
      </c>
      <c r="B90" s="7" t="s">
        <v>479</v>
      </c>
      <c r="C90" s="4">
        <f t="shared" si="13"/>
        <v>81420.5</v>
      </c>
      <c r="D90" s="4">
        <f t="shared" si="9"/>
        <v>0</v>
      </c>
      <c r="E90" s="4"/>
      <c r="F90" s="4"/>
      <c r="G90" s="4">
        <f t="shared" si="10"/>
        <v>40710</v>
      </c>
      <c r="H90" s="4"/>
      <c r="I90" s="4">
        <f t="shared" si="11"/>
        <v>40710.25</v>
      </c>
      <c r="J90" s="4">
        <f t="shared" si="11"/>
        <v>0</v>
      </c>
      <c r="K90" s="4">
        <f t="shared" si="11"/>
        <v>0</v>
      </c>
      <c r="L90" s="4"/>
      <c r="M90" s="14">
        <v>81420.5</v>
      </c>
      <c r="N90" s="14">
        <v>0</v>
      </c>
      <c r="O90" s="14">
        <v>0</v>
      </c>
      <c r="P90" s="4"/>
      <c r="Q90" s="14">
        <v>0</v>
      </c>
      <c r="R90" s="14">
        <v>0</v>
      </c>
      <c r="S90" s="14">
        <v>0</v>
      </c>
    </row>
    <row r="91" spans="1:19" ht="12.75">
      <c r="A91" s="5">
        <f t="shared" si="12"/>
        <v>77</v>
      </c>
      <c r="B91" s="7" t="s">
        <v>480</v>
      </c>
      <c r="C91" s="4">
        <f t="shared" si="13"/>
        <v>770224.7</v>
      </c>
      <c r="D91" s="4">
        <f t="shared" si="9"/>
        <v>0</v>
      </c>
      <c r="E91" s="4"/>
      <c r="F91" s="4"/>
      <c r="G91" s="4">
        <f t="shared" si="10"/>
        <v>385112</v>
      </c>
      <c r="H91" s="4"/>
      <c r="I91" s="4">
        <f t="shared" si="11"/>
        <v>385112.35</v>
      </c>
      <c r="J91" s="4">
        <f t="shared" si="11"/>
        <v>0</v>
      </c>
      <c r="K91" s="4">
        <f t="shared" si="11"/>
        <v>0</v>
      </c>
      <c r="L91" s="4"/>
      <c r="M91" s="14">
        <v>770224.7</v>
      </c>
      <c r="N91" s="14">
        <v>0</v>
      </c>
      <c r="O91" s="14">
        <v>0</v>
      </c>
      <c r="P91" s="4"/>
      <c r="Q91" s="14">
        <v>0</v>
      </c>
      <c r="R91" s="14">
        <v>0</v>
      </c>
      <c r="S91" s="14">
        <v>0</v>
      </c>
    </row>
    <row r="92" spans="1:19" ht="12.75">
      <c r="A92" s="5">
        <f t="shared" si="12"/>
        <v>78</v>
      </c>
      <c r="B92" s="7" t="s">
        <v>481</v>
      </c>
      <c r="C92" s="4">
        <f t="shared" si="13"/>
        <v>1626161.6</v>
      </c>
      <c r="D92" s="4">
        <f t="shared" si="9"/>
        <v>0</v>
      </c>
      <c r="E92" s="4"/>
      <c r="F92" s="4"/>
      <c r="G92" s="4">
        <f t="shared" si="10"/>
        <v>813081</v>
      </c>
      <c r="H92" s="4"/>
      <c r="I92" s="4">
        <f t="shared" si="11"/>
        <v>813080.8</v>
      </c>
      <c r="J92" s="4">
        <f t="shared" si="11"/>
        <v>0</v>
      </c>
      <c r="K92" s="4">
        <f t="shared" si="11"/>
        <v>0</v>
      </c>
      <c r="L92" s="4"/>
      <c r="M92" s="14">
        <v>1626161.6</v>
      </c>
      <c r="N92" s="14">
        <v>0</v>
      </c>
      <c r="O92" s="14">
        <v>0</v>
      </c>
      <c r="P92" s="4"/>
      <c r="Q92" s="14">
        <v>0</v>
      </c>
      <c r="R92" s="14">
        <v>0</v>
      </c>
      <c r="S92" s="14">
        <v>0</v>
      </c>
    </row>
    <row r="93" spans="1:19" ht="12.75">
      <c r="A93" s="5">
        <f t="shared" si="12"/>
        <v>79</v>
      </c>
      <c r="B93" s="7" t="s">
        <v>482</v>
      </c>
      <c r="C93" s="4">
        <f t="shared" si="13"/>
        <v>-814284.45</v>
      </c>
      <c r="D93" s="4">
        <f t="shared" si="9"/>
        <v>0</v>
      </c>
      <c r="E93" s="4"/>
      <c r="F93" s="4"/>
      <c r="G93" s="4">
        <f t="shared" si="10"/>
        <v>-407142</v>
      </c>
      <c r="H93" s="4"/>
      <c r="I93" s="4">
        <f t="shared" si="11"/>
        <v>-407142.225</v>
      </c>
      <c r="J93" s="4">
        <f t="shared" si="11"/>
        <v>0</v>
      </c>
      <c r="K93" s="4">
        <f t="shared" si="11"/>
        <v>0</v>
      </c>
      <c r="L93" s="4"/>
      <c r="M93" s="14">
        <v>-814284.45</v>
      </c>
      <c r="N93" s="14">
        <v>0</v>
      </c>
      <c r="O93" s="14">
        <v>0</v>
      </c>
      <c r="P93" s="4"/>
      <c r="Q93" s="14">
        <v>0</v>
      </c>
      <c r="R93" s="14">
        <v>0</v>
      </c>
      <c r="S93" s="14">
        <v>0</v>
      </c>
    </row>
    <row r="94" spans="1:19" ht="12.75">
      <c r="A94" s="5">
        <f t="shared" si="12"/>
        <v>80</v>
      </c>
      <c r="B94" s="7" t="s">
        <v>483</v>
      </c>
      <c r="C94" s="4">
        <f t="shared" si="13"/>
        <v>561425.2</v>
      </c>
      <c r="D94" s="4">
        <f t="shared" si="9"/>
        <v>0</v>
      </c>
      <c r="E94" s="4"/>
      <c r="F94" s="4"/>
      <c r="G94" s="4">
        <f t="shared" si="10"/>
        <v>280713</v>
      </c>
      <c r="H94" s="4"/>
      <c r="I94" s="4">
        <f t="shared" si="11"/>
        <v>280712.6</v>
      </c>
      <c r="J94" s="4">
        <f t="shared" si="11"/>
        <v>0</v>
      </c>
      <c r="K94" s="4">
        <f t="shared" si="11"/>
        <v>0</v>
      </c>
      <c r="L94" s="4"/>
      <c r="M94" s="14">
        <v>561425.2</v>
      </c>
      <c r="N94" s="14">
        <v>0</v>
      </c>
      <c r="O94" s="14">
        <v>0</v>
      </c>
      <c r="P94" s="4"/>
      <c r="Q94" s="14">
        <v>0</v>
      </c>
      <c r="R94" s="14">
        <v>0</v>
      </c>
      <c r="S94" s="14">
        <v>0</v>
      </c>
    </row>
    <row r="95" spans="1:19" ht="12.75">
      <c r="A95" s="5">
        <f t="shared" si="12"/>
        <v>81</v>
      </c>
      <c r="B95" s="7" t="s">
        <v>484</v>
      </c>
      <c r="C95" s="4">
        <f t="shared" si="13"/>
        <v>93611</v>
      </c>
      <c r="D95" s="4">
        <f t="shared" si="9"/>
        <v>0</v>
      </c>
      <c r="E95" s="4"/>
      <c r="F95" s="4"/>
      <c r="G95" s="4">
        <f t="shared" si="10"/>
        <v>46806</v>
      </c>
      <c r="H95" s="4"/>
      <c r="I95" s="4">
        <f t="shared" si="11"/>
        <v>46805.5</v>
      </c>
      <c r="J95" s="4">
        <f t="shared" si="11"/>
        <v>0</v>
      </c>
      <c r="K95" s="4">
        <f t="shared" si="11"/>
        <v>0</v>
      </c>
      <c r="L95" s="4"/>
      <c r="M95" s="14">
        <v>93611</v>
      </c>
      <c r="N95" s="14">
        <v>0</v>
      </c>
      <c r="O95" s="14">
        <v>0</v>
      </c>
      <c r="P95" s="4"/>
      <c r="Q95" s="14">
        <v>0</v>
      </c>
      <c r="R95" s="14">
        <v>0</v>
      </c>
      <c r="S95" s="14">
        <v>0</v>
      </c>
    </row>
    <row r="96" spans="1:19" ht="12.75">
      <c r="A96" s="5">
        <f t="shared" si="12"/>
        <v>82</v>
      </c>
      <c r="B96" s="7" t="s">
        <v>485</v>
      </c>
      <c r="C96" s="4">
        <f t="shared" si="13"/>
        <v>15228.85</v>
      </c>
      <c r="D96" s="4">
        <f t="shared" si="9"/>
        <v>0</v>
      </c>
      <c r="E96" s="4"/>
      <c r="F96" s="4"/>
      <c r="G96" s="4">
        <f t="shared" si="10"/>
        <v>7614</v>
      </c>
      <c r="H96" s="4"/>
      <c r="I96" s="4">
        <f t="shared" si="11"/>
        <v>7614.425</v>
      </c>
      <c r="J96" s="4">
        <f t="shared" si="11"/>
        <v>0</v>
      </c>
      <c r="K96" s="4">
        <f t="shared" si="11"/>
        <v>0</v>
      </c>
      <c r="L96" s="4"/>
      <c r="M96" s="14">
        <v>15228.85</v>
      </c>
      <c r="N96" s="14">
        <v>0</v>
      </c>
      <c r="O96" s="14">
        <v>0</v>
      </c>
      <c r="P96" s="4"/>
      <c r="Q96" s="14">
        <v>0</v>
      </c>
      <c r="R96" s="14">
        <v>0</v>
      </c>
      <c r="S96" s="14">
        <v>0</v>
      </c>
    </row>
    <row r="97" spans="1:19" ht="12.75">
      <c r="A97" s="5">
        <f t="shared" si="12"/>
        <v>83</v>
      </c>
      <c r="B97" s="7" t="s">
        <v>486</v>
      </c>
      <c r="C97" s="4">
        <f t="shared" si="13"/>
        <v>-21753304.3</v>
      </c>
      <c r="D97" s="4">
        <f t="shared" si="9"/>
        <v>0</v>
      </c>
      <c r="E97" s="4"/>
      <c r="F97" s="4"/>
      <c r="G97" s="4">
        <f t="shared" si="10"/>
        <v>-10876652</v>
      </c>
      <c r="H97" s="4"/>
      <c r="I97" s="4">
        <f t="shared" si="11"/>
        <v>-10876652.15</v>
      </c>
      <c r="J97" s="4">
        <f t="shared" si="11"/>
        <v>0</v>
      </c>
      <c r="K97" s="4">
        <f t="shared" si="11"/>
        <v>0</v>
      </c>
      <c r="L97" s="4"/>
      <c r="M97" s="14">
        <v>-21753304.3</v>
      </c>
      <c r="N97" s="14">
        <v>0</v>
      </c>
      <c r="O97" s="14">
        <v>0</v>
      </c>
      <c r="P97" s="4"/>
      <c r="Q97" s="14">
        <v>0</v>
      </c>
      <c r="R97" s="14">
        <v>0</v>
      </c>
      <c r="S97" s="14">
        <v>0</v>
      </c>
    </row>
    <row r="98" spans="1:19" ht="12.75">
      <c r="A98" s="5">
        <f t="shared" si="12"/>
        <v>84</v>
      </c>
      <c r="B98" s="7" t="s">
        <v>487</v>
      </c>
      <c r="C98" s="4">
        <f t="shared" si="13"/>
        <v>2674004.26</v>
      </c>
      <c r="D98" s="4">
        <f t="shared" si="9"/>
        <v>0</v>
      </c>
      <c r="E98" s="4"/>
      <c r="F98" s="4"/>
      <c r="G98" s="4">
        <f t="shared" si="10"/>
        <v>1337002</v>
      </c>
      <c r="H98" s="4"/>
      <c r="I98" s="4">
        <f t="shared" si="11"/>
        <v>1337002.13</v>
      </c>
      <c r="J98" s="4">
        <f t="shared" si="11"/>
        <v>0</v>
      </c>
      <c r="K98" s="4">
        <f t="shared" si="11"/>
        <v>0</v>
      </c>
      <c r="L98" s="4"/>
      <c r="M98" s="14">
        <v>2674004.26</v>
      </c>
      <c r="N98" s="14">
        <v>0</v>
      </c>
      <c r="O98" s="14">
        <v>0</v>
      </c>
      <c r="P98" s="4"/>
      <c r="Q98" s="14">
        <v>0</v>
      </c>
      <c r="R98" s="14">
        <v>0</v>
      </c>
      <c r="S98" s="14">
        <v>0</v>
      </c>
    </row>
    <row r="99" spans="1:19" ht="12.75">
      <c r="A99" s="5">
        <f t="shared" si="12"/>
        <v>85</v>
      </c>
      <c r="B99" s="7" t="s">
        <v>488</v>
      </c>
      <c r="C99" s="4">
        <f t="shared" si="13"/>
        <v>89369647.14</v>
      </c>
      <c r="D99" s="4">
        <f t="shared" si="9"/>
        <v>0</v>
      </c>
      <c r="E99" s="4"/>
      <c r="F99" s="4"/>
      <c r="G99" s="4">
        <f t="shared" si="10"/>
        <v>44684824</v>
      </c>
      <c r="H99" s="4"/>
      <c r="I99" s="4">
        <f t="shared" si="11"/>
        <v>44684823.57</v>
      </c>
      <c r="J99" s="4">
        <f t="shared" si="11"/>
        <v>0</v>
      </c>
      <c r="K99" s="4">
        <f t="shared" si="11"/>
        <v>0</v>
      </c>
      <c r="L99" s="4"/>
      <c r="M99" s="14">
        <v>89369647.14</v>
      </c>
      <c r="N99" s="14">
        <v>0</v>
      </c>
      <c r="O99" s="14">
        <v>0</v>
      </c>
      <c r="P99" s="4"/>
      <c r="Q99" s="14">
        <v>0</v>
      </c>
      <c r="R99" s="14">
        <v>0</v>
      </c>
      <c r="S99" s="14">
        <v>0</v>
      </c>
    </row>
    <row r="100" spans="1:19" ht="12.75">
      <c r="A100" s="5">
        <f t="shared" si="12"/>
        <v>86</v>
      </c>
      <c r="B100" s="7" t="s">
        <v>37</v>
      </c>
      <c r="C100" s="4">
        <f t="shared" si="13"/>
        <v>20310707.72</v>
      </c>
      <c r="D100" s="4">
        <f t="shared" si="9"/>
        <v>0</v>
      </c>
      <c r="E100" s="4"/>
      <c r="F100" s="4"/>
      <c r="G100" s="4">
        <f t="shared" si="10"/>
        <v>10155354</v>
      </c>
      <c r="H100" s="4"/>
      <c r="I100" s="4">
        <f t="shared" si="11"/>
        <v>10155353.86</v>
      </c>
      <c r="J100" s="4">
        <f t="shared" si="11"/>
        <v>0</v>
      </c>
      <c r="K100" s="4">
        <f t="shared" si="11"/>
        <v>0</v>
      </c>
      <c r="L100" s="4"/>
      <c r="M100" s="14">
        <v>20310707.72</v>
      </c>
      <c r="N100" s="14">
        <v>0</v>
      </c>
      <c r="O100" s="14">
        <v>0</v>
      </c>
      <c r="P100" s="4"/>
      <c r="Q100" s="14">
        <v>0</v>
      </c>
      <c r="R100" s="14">
        <v>0</v>
      </c>
      <c r="S100" s="14">
        <v>0</v>
      </c>
    </row>
    <row r="101" spans="1:19" ht="12.75">
      <c r="A101" s="5">
        <f t="shared" si="12"/>
        <v>87</v>
      </c>
      <c r="B101" s="7" t="s">
        <v>23</v>
      </c>
      <c r="C101" s="4">
        <f t="shared" si="8"/>
        <v>766224.9</v>
      </c>
      <c r="D101" s="4">
        <f t="shared" si="9"/>
        <v>806025.5</v>
      </c>
      <c r="E101" s="4"/>
      <c r="F101" s="4"/>
      <c r="G101" s="4">
        <f t="shared" si="10"/>
        <v>786125</v>
      </c>
      <c r="H101" s="4"/>
      <c r="I101" s="4">
        <f t="shared" si="11"/>
        <v>250328.22499999998</v>
      </c>
      <c r="J101" s="4">
        <f t="shared" si="11"/>
        <v>114091.95000000001</v>
      </c>
      <c r="K101" s="4">
        <f t="shared" si="11"/>
        <v>421705.025</v>
      </c>
      <c r="L101" s="4"/>
      <c r="M101" s="14">
        <v>206168.9</v>
      </c>
      <c r="N101" s="14">
        <v>113771.35</v>
      </c>
      <c r="O101" s="14">
        <v>446284.65</v>
      </c>
      <c r="P101" s="4"/>
      <c r="Q101" s="14">
        <v>294487.55</v>
      </c>
      <c r="R101" s="14">
        <v>114412.55</v>
      </c>
      <c r="S101" s="14">
        <v>397125.4</v>
      </c>
    </row>
    <row r="102" spans="1:19" ht="12.75">
      <c r="A102" s="5">
        <f t="shared" si="12"/>
        <v>88</v>
      </c>
      <c r="B102" s="8" t="s">
        <v>22</v>
      </c>
      <c r="C102" s="4">
        <f t="shared" si="8"/>
        <v>3778264.17</v>
      </c>
      <c r="D102" s="4">
        <f t="shared" si="9"/>
        <v>2588613.12</v>
      </c>
      <c r="E102" s="4"/>
      <c r="F102" s="4"/>
      <c r="G102" s="4">
        <f t="shared" si="10"/>
        <v>3183439</v>
      </c>
      <c r="H102" s="4"/>
      <c r="I102" s="4">
        <f t="shared" si="11"/>
        <v>999589.845</v>
      </c>
      <c r="J102" s="4">
        <f t="shared" si="11"/>
        <v>614328.71</v>
      </c>
      <c r="K102" s="4">
        <f t="shared" si="11"/>
        <v>1569520.0899999999</v>
      </c>
      <c r="L102" s="4"/>
      <c r="M102" s="14">
        <v>1275440.42</v>
      </c>
      <c r="N102" s="14">
        <v>665756.31</v>
      </c>
      <c r="O102" s="14">
        <v>1837067.44</v>
      </c>
      <c r="P102" s="4"/>
      <c r="Q102" s="14">
        <v>723739.27</v>
      </c>
      <c r="R102" s="14">
        <v>562901.11</v>
      </c>
      <c r="S102" s="14">
        <v>1301972.74</v>
      </c>
    </row>
    <row r="103" spans="1:19" ht="12.75">
      <c r="A103" s="5">
        <f t="shared" si="12"/>
        <v>89</v>
      </c>
      <c r="B103" s="8" t="s">
        <v>21</v>
      </c>
      <c r="C103" s="4">
        <f t="shared" si="8"/>
        <v>199240.53999999998</v>
      </c>
      <c r="D103" s="4">
        <f t="shared" si="9"/>
        <v>211009.08</v>
      </c>
      <c r="E103" s="4"/>
      <c r="F103" s="4"/>
      <c r="G103" s="4">
        <f t="shared" si="10"/>
        <v>205125</v>
      </c>
      <c r="H103" s="4"/>
      <c r="I103" s="4">
        <f t="shared" si="11"/>
        <v>100736.03</v>
      </c>
      <c r="J103" s="4">
        <f t="shared" si="11"/>
        <v>44989.130000000005</v>
      </c>
      <c r="K103" s="4">
        <f t="shared" si="11"/>
        <v>59399.65</v>
      </c>
      <c r="L103" s="4"/>
      <c r="M103" s="14">
        <v>98261.31</v>
      </c>
      <c r="N103" s="14">
        <v>42524.15</v>
      </c>
      <c r="O103" s="14">
        <v>58455.08</v>
      </c>
      <c r="P103" s="4"/>
      <c r="Q103" s="14">
        <v>103210.75</v>
      </c>
      <c r="R103" s="14">
        <v>47454.11</v>
      </c>
      <c r="S103" s="14">
        <v>60344.22</v>
      </c>
    </row>
    <row r="104" spans="1:19" ht="12.75">
      <c r="A104" s="5">
        <f t="shared" si="12"/>
        <v>90</v>
      </c>
      <c r="B104" s="8" t="s">
        <v>489</v>
      </c>
      <c r="C104" s="4">
        <f t="shared" si="8"/>
        <v>0</v>
      </c>
      <c r="D104" s="4">
        <f t="shared" si="9"/>
        <v>0</v>
      </c>
      <c r="E104" s="4"/>
      <c r="F104" s="4"/>
      <c r="G104" s="4">
        <f>ROUND(SUM(C104:F104)/2,0)</f>
        <v>0</v>
      </c>
      <c r="H104" s="4"/>
      <c r="I104" s="4">
        <f t="shared" si="11"/>
        <v>0</v>
      </c>
      <c r="J104" s="4">
        <f t="shared" si="11"/>
        <v>0</v>
      </c>
      <c r="K104" s="4">
        <f t="shared" si="11"/>
        <v>0</v>
      </c>
      <c r="L104" s="4"/>
      <c r="M104" s="14">
        <v>0</v>
      </c>
      <c r="N104" s="14">
        <v>0</v>
      </c>
      <c r="O104" s="14">
        <v>0</v>
      </c>
      <c r="P104" s="4"/>
      <c r="Q104" s="14">
        <v>0</v>
      </c>
      <c r="R104" s="14">
        <v>0</v>
      </c>
      <c r="S104" s="14">
        <v>0</v>
      </c>
    </row>
    <row r="105" spans="1:19" ht="12.75">
      <c r="A105" s="5">
        <f t="shared" si="12"/>
        <v>91</v>
      </c>
      <c r="B105" s="8" t="s">
        <v>19</v>
      </c>
      <c r="C105" s="4">
        <f t="shared" si="8"/>
        <v>682353</v>
      </c>
      <c r="D105" s="4">
        <f t="shared" si="9"/>
        <v>758170.06</v>
      </c>
      <c r="E105" s="4"/>
      <c r="F105" s="4"/>
      <c r="G105" s="4">
        <f>ROUND(SUM(C105:F105)/2,0)</f>
        <v>720262</v>
      </c>
      <c r="H105" s="4"/>
      <c r="I105" s="4">
        <f t="shared" si="11"/>
        <v>236761.56</v>
      </c>
      <c r="J105" s="4">
        <f t="shared" si="11"/>
        <v>52642.774999999994</v>
      </c>
      <c r="K105" s="4">
        <f t="shared" si="11"/>
        <v>430857.195</v>
      </c>
      <c r="L105" s="4"/>
      <c r="M105" s="14">
        <v>224300.41</v>
      </c>
      <c r="N105" s="14">
        <v>49872.1</v>
      </c>
      <c r="O105" s="14">
        <v>408180.49</v>
      </c>
      <c r="P105" s="4"/>
      <c r="Q105" s="14">
        <v>249222.71</v>
      </c>
      <c r="R105" s="14">
        <v>55413.45</v>
      </c>
      <c r="S105" s="14">
        <v>453533.9</v>
      </c>
    </row>
    <row r="106" spans="1:19" ht="12.75">
      <c r="A106" s="5">
        <f t="shared" si="12"/>
        <v>92</v>
      </c>
      <c r="B106" s="8" t="s">
        <v>395</v>
      </c>
      <c r="C106" s="4">
        <f t="shared" si="8"/>
        <v>0.06</v>
      </c>
      <c r="D106" s="4">
        <f t="shared" si="9"/>
        <v>0.06</v>
      </c>
      <c r="E106" s="4"/>
      <c r="F106" s="4"/>
      <c r="G106" s="4">
        <f t="shared" si="10"/>
        <v>0</v>
      </c>
      <c r="H106" s="4"/>
      <c r="I106" s="4">
        <f t="shared" si="11"/>
        <v>0</v>
      </c>
      <c r="J106" s="4">
        <f t="shared" si="11"/>
        <v>0.08</v>
      </c>
      <c r="K106" s="4">
        <f t="shared" si="11"/>
        <v>-0.02</v>
      </c>
      <c r="L106" s="4"/>
      <c r="M106" s="14">
        <v>0</v>
      </c>
      <c r="N106" s="14">
        <v>0.08</v>
      </c>
      <c r="O106" s="14">
        <v>-0.02</v>
      </c>
      <c r="P106" s="4"/>
      <c r="Q106" s="14">
        <v>0</v>
      </c>
      <c r="R106" s="14">
        <v>0.08</v>
      </c>
      <c r="S106" s="14">
        <v>-0.02</v>
      </c>
    </row>
    <row r="107" spans="1:19" ht="12.75">
      <c r="A107" s="5">
        <f t="shared" si="12"/>
        <v>93</v>
      </c>
      <c r="B107" s="8" t="s">
        <v>18</v>
      </c>
      <c r="C107" s="4">
        <f t="shared" si="8"/>
        <v>1594930.84</v>
      </c>
      <c r="D107" s="4">
        <f t="shared" si="9"/>
        <v>1584449.91</v>
      </c>
      <c r="E107" s="4"/>
      <c r="F107" s="4"/>
      <c r="G107" s="4">
        <f t="shared" si="10"/>
        <v>1589690</v>
      </c>
      <c r="H107" s="4"/>
      <c r="I107" s="4">
        <f t="shared" si="11"/>
        <v>753047.615</v>
      </c>
      <c r="J107" s="4">
        <f t="shared" si="11"/>
        <v>29007.975</v>
      </c>
      <c r="K107" s="4">
        <f t="shared" si="11"/>
        <v>807634.785</v>
      </c>
      <c r="L107" s="4"/>
      <c r="M107" s="14">
        <v>751427.78</v>
      </c>
      <c r="N107" s="14">
        <v>26695.63</v>
      </c>
      <c r="O107" s="14">
        <v>816807.43</v>
      </c>
      <c r="P107" s="4"/>
      <c r="Q107" s="14">
        <v>754667.45</v>
      </c>
      <c r="R107" s="14">
        <v>31320.32</v>
      </c>
      <c r="S107" s="14">
        <v>798462.14</v>
      </c>
    </row>
    <row r="108" spans="1:19" ht="12.75">
      <c r="A108" s="5">
        <f t="shared" si="12"/>
        <v>94</v>
      </c>
      <c r="B108" s="7" t="s">
        <v>490</v>
      </c>
      <c r="C108" s="9">
        <v>141910.8</v>
      </c>
      <c r="D108" s="9">
        <v>137505</v>
      </c>
      <c r="E108" s="4">
        <f aca="true" t="shared" si="14" ref="E108:F112">-C108</f>
        <v>-141910.8</v>
      </c>
      <c r="F108" s="4">
        <f t="shared" si="14"/>
        <v>-137505</v>
      </c>
      <c r="G108" s="4">
        <f t="shared" si="10"/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5">
        <f t="shared" si="12"/>
        <v>95</v>
      </c>
      <c r="B109" s="8" t="s">
        <v>15</v>
      </c>
      <c r="C109" s="9">
        <v>56329695.88</v>
      </c>
      <c r="D109" s="9">
        <v>56001331.74</v>
      </c>
      <c r="E109" s="4">
        <f t="shared" si="14"/>
        <v>-56329695.88</v>
      </c>
      <c r="F109" s="4">
        <f t="shared" si="14"/>
        <v>-56001331.74</v>
      </c>
      <c r="G109" s="4">
        <f t="shared" si="10"/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5">
        <f t="shared" si="12"/>
        <v>96</v>
      </c>
      <c r="B110" s="8" t="s">
        <v>14</v>
      </c>
      <c r="C110" s="9">
        <v>0</v>
      </c>
      <c r="D110" s="9">
        <v>0</v>
      </c>
      <c r="E110" s="4">
        <f t="shared" si="14"/>
        <v>0</v>
      </c>
      <c r="F110" s="4">
        <f t="shared" si="14"/>
        <v>0</v>
      </c>
      <c r="G110" s="4">
        <f t="shared" si="10"/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5">
        <f t="shared" si="12"/>
        <v>97</v>
      </c>
      <c r="B111" s="8" t="s">
        <v>11</v>
      </c>
      <c r="C111" s="9">
        <v>0</v>
      </c>
      <c r="D111" s="9">
        <v>0</v>
      </c>
      <c r="E111" s="4">
        <f t="shared" si="14"/>
        <v>0</v>
      </c>
      <c r="F111" s="4">
        <f t="shared" si="14"/>
        <v>0</v>
      </c>
      <c r="G111" s="4">
        <f t="shared" si="10"/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5">
        <f t="shared" si="12"/>
        <v>98</v>
      </c>
      <c r="B112" s="7" t="s">
        <v>491</v>
      </c>
      <c r="C112" s="9">
        <v>0</v>
      </c>
      <c r="D112" s="9">
        <v>0</v>
      </c>
      <c r="E112" s="4">
        <f t="shared" si="14"/>
        <v>0</v>
      </c>
      <c r="F112" s="4">
        <f t="shared" si="14"/>
        <v>0</v>
      </c>
      <c r="G112" s="4">
        <f>ROUND(SUM(C112:F112)/2,0)</f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5">
        <f t="shared" si="12"/>
        <v>99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3.5" thickBot="1">
      <c r="A114" s="5">
        <f t="shared" si="12"/>
        <v>100</v>
      </c>
      <c r="B114" s="8"/>
      <c r="C114" s="6">
        <f>SUM(C64:C113)</f>
        <v>168081885.04000002</v>
      </c>
      <c r="D114" s="6">
        <f>SUM(D64:D113)</f>
        <v>70737178.32000001</v>
      </c>
      <c r="E114" s="6">
        <f>SUM(E64:E113)</f>
        <v>-56471606.68</v>
      </c>
      <c r="F114" s="6">
        <f>SUM(F64:F113)</f>
        <v>-56138836.74</v>
      </c>
      <c r="G114" s="6">
        <f>SUM(G64:G113)</f>
        <v>63104310</v>
      </c>
      <c r="H114" s="4"/>
      <c r="I114" s="6">
        <f>SUM(I64:I113)</f>
        <v>57653040.32500001</v>
      </c>
      <c r="J114" s="6">
        <f>SUM(J64:J113)</f>
        <v>1012109.7049999998</v>
      </c>
      <c r="K114" s="6">
        <f>SUM(K64:K113)</f>
        <v>4439159.9399999995</v>
      </c>
      <c r="L114" s="4"/>
      <c r="M114" s="6">
        <f>SUM(M64:M113)</f>
        <v>103517453.56</v>
      </c>
      <c r="N114" s="6">
        <f>SUM(N64:N113)</f>
        <v>1140511.4300000002</v>
      </c>
      <c r="O114" s="6">
        <f>SUM(O64:O113)</f>
        <v>6952313.37</v>
      </c>
      <c r="P114" s="4"/>
      <c r="Q114" s="6">
        <f>SUM(Q64:Q113)</f>
        <v>11788627.090000004</v>
      </c>
      <c r="R114" s="6">
        <f>SUM(R64:R113)</f>
        <v>883707.9799999999</v>
      </c>
      <c r="S114" s="6">
        <f>SUM(S64:S113)</f>
        <v>1926006.5099999998</v>
      </c>
    </row>
    <row r="115" spans="1:19" ht="13.5" thickTop="1">
      <c r="A115" s="5">
        <f t="shared" si="12"/>
        <v>101</v>
      </c>
      <c r="C115" s="3"/>
      <c r="D115" s="3"/>
      <c r="E115" s="3"/>
      <c r="F115" s="3"/>
      <c r="G115" s="3"/>
      <c r="H115" s="4"/>
      <c r="I115" s="3"/>
      <c r="J115" s="3"/>
      <c r="K115" s="3"/>
      <c r="L115" s="4"/>
      <c r="M115" s="3"/>
      <c r="N115" s="3"/>
      <c r="O115" s="3"/>
      <c r="P115" s="4"/>
      <c r="Q115" s="3"/>
      <c r="R115" s="3"/>
      <c r="S115" s="3"/>
    </row>
    <row r="116" spans="1:19" ht="12.75">
      <c r="A116" s="5">
        <f t="shared" si="12"/>
        <v>102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5">
        <f t="shared" si="12"/>
        <v>103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P117" s="4"/>
      <c r="Q117" s="4"/>
      <c r="R117" s="4"/>
      <c r="S117" s="4"/>
    </row>
    <row r="118" spans="1:19" ht="12.75">
      <c r="A118" s="5">
        <f t="shared" si="12"/>
        <v>104</v>
      </c>
      <c r="B118" s="7" t="s">
        <v>10</v>
      </c>
      <c r="C118" s="4">
        <f>SUM(M118:O118)</f>
        <v>9241519.18</v>
      </c>
      <c r="D118" s="4">
        <f>SUM(Q118:S118)</f>
        <v>10492834</v>
      </c>
      <c r="E118" s="4"/>
      <c r="F118" s="4"/>
      <c r="G118" s="4">
        <f>ROUND(SUM(C118:F118)/2,0)</f>
        <v>9867177</v>
      </c>
      <c r="H118" s="4"/>
      <c r="I118" s="4">
        <f>(M118+Q118)/2</f>
        <v>9867176.59</v>
      </c>
      <c r="J118" s="4">
        <f>(N118+R118)/2</f>
        <v>0</v>
      </c>
      <c r="K118" s="4">
        <f>(O118+S118)/2</f>
        <v>0</v>
      </c>
      <c r="L118" s="4"/>
      <c r="M118" s="9">
        <v>9241519.18</v>
      </c>
      <c r="N118" s="9">
        <v>0</v>
      </c>
      <c r="O118" s="9">
        <v>0</v>
      </c>
      <c r="P118" s="4"/>
      <c r="Q118" s="9">
        <v>10492834</v>
      </c>
      <c r="R118" s="9">
        <v>0</v>
      </c>
      <c r="S118" s="9">
        <v>0</v>
      </c>
    </row>
    <row r="119" spans="1:19" ht="12.75">
      <c r="A119" s="5">
        <f t="shared" si="12"/>
        <v>105</v>
      </c>
      <c r="B119" s="7" t="s">
        <v>492</v>
      </c>
      <c r="C119" s="9">
        <v>81299120.34</v>
      </c>
      <c r="D119" s="9">
        <v>73509355.07</v>
      </c>
      <c r="E119" s="4">
        <f>-C119</f>
        <v>-81299120.34</v>
      </c>
      <c r="F119" s="4">
        <f>-D119</f>
        <v>-73509355.07</v>
      </c>
      <c r="G119" s="4">
        <f>ROUND(SUM(C119:F119)/2,0)</f>
        <v>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5">
        <f t="shared" si="12"/>
        <v>106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61"/>
      <c r="N120" s="61"/>
      <c r="O120" s="4"/>
      <c r="P120" s="4"/>
      <c r="Q120" s="61"/>
      <c r="R120" s="61"/>
      <c r="S120" s="4"/>
    </row>
    <row r="121" spans="1:19" ht="13.5" thickBot="1">
      <c r="A121" s="5">
        <f t="shared" si="12"/>
        <v>107</v>
      </c>
      <c r="B121" s="8" t="s">
        <v>8</v>
      </c>
      <c r="C121" s="6">
        <f>SUM(C114:C120)</f>
        <v>258622524.56000003</v>
      </c>
      <c r="D121" s="6">
        <f>SUM(D114:D120)</f>
        <v>154739367.39</v>
      </c>
      <c r="E121" s="6">
        <f>SUM(E114:E120)</f>
        <v>-137770727.02</v>
      </c>
      <c r="F121" s="6">
        <f>SUM(F114:F120)</f>
        <v>-129648191.81</v>
      </c>
      <c r="G121" s="6">
        <f>SUM(G114:G120)</f>
        <v>72971487</v>
      </c>
      <c r="H121" s="4"/>
      <c r="I121" s="6">
        <f>SUM(I114:I120)</f>
        <v>67520216.915</v>
      </c>
      <c r="J121" s="6">
        <f>SUM(J114:J120)</f>
        <v>1012109.7049999998</v>
      </c>
      <c r="K121" s="6">
        <f>SUM(K114:K120)</f>
        <v>4439159.9399999995</v>
      </c>
      <c r="L121" s="4"/>
      <c r="M121" s="62">
        <f>SUM(M114:M120)</f>
        <v>112758972.74000001</v>
      </c>
      <c r="N121" s="62">
        <f>SUM(N114:N120)</f>
        <v>1140511.4300000002</v>
      </c>
      <c r="O121" s="63">
        <f>SUM(O114:O120)</f>
        <v>6952313.37</v>
      </c>
      <c r="P121" s="4"/>
      <c r="Q121" s="62">
        <f>SUM(Q114:Q120)</f>
        <v>22281461.090000004</v>
      </c>
      <c r="R121" s="62">
        <f>SUM(R114:R120)</f>
        <v>883707.9799999999</v>
      </c>
      <c r="S121" s="63">
        <f>SUM(S114:S120)</f>
        <v>1926006.5099999998</v>
      </c>
    </row>
    <row r="122" spans="1:19" ht="13.5" thickTop="1">
      <c r="A122" s="5">
        <f t="shared" si="12"/>
        <v>108</v>
      </c>
      <c r="C122" s="3"/>
      <c r="D122" s="3"/>
      <c r="E122" s="3"/>
      <c r="F122" s="3"/>
      <c r="G122" s="3"/>
      <c r="H122" s="4"/>
      <c r="I122" s="3"/>
      <c r="J122" s="3"/>
      <c r="K122" s="3"/>
      <c r="L122" s="4"/>
      <c r="P122" s="4"/>
      <c r="Q122" s="4"/>
      <c r="R122" s="4"/>
      <c r="S122" s="4"/>
    </row>
    <row r="123" spans="1:19" ht="12.75">
      <c r="A123" s="5">
        <f t="shared" si="12"/>
        <v>109</v>
      </c>
      <c r="C123" s="4"/>
      <c r="D123" s="13"/>
      <c r="E123" s="4"/>
      <c r="F123" s="4"/>
      <c r="G123" s="4"/>
      <c r="H123" s="4"/>
      <c r="I123" s="4"/>
      <c r="J123" s="4"/>
      <c r="K123" s="4"/>
      <c r="L123" s="4"/>
      <c r="P123" s="4"/>
      <c r="Q123" s="4"/>
      <c r="R123" s="4"/>
      <c r="S123" s="4"/>
    </row>
    <row r="124" spans="1:19" ht="12.75">
      <c r="A124" s="5">
        <f t="shared" si="12"/>
        <v>110</v>
      </c>
      <c r="B124" s="8" t="s">
        <v>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P124" s="4"/>
      <c r="Q124" s="4"/>
      <c r="R124" s="4"/>
      <c r="S124" s="4"/>
    </row>
    <row r="125" spans="1:19" ht="12.75">
      <c r="A125" s="5">
        <f t="shared" si="12"/>
        <v>111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P125" s="4"/>
      <c r="Q125" s="4"/>
      <c r="R125" s="4"/>
      <c r="S125" s="4"/>
    </row>
    <row r="126" spans="1:19" ht="12.75">
      <c r="A126" s="5">
        <f t="shared" si="12"/>
        <v>112</v>
      </c>
      <c r="B126" s="8" t="s">
        <v>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5">
        <f t="shared" si="12"/>
        <v>113</v>
      </c>
      <c r="C127" s="4"/>
      <c r="D127" s="10"/>
      <c r="E127" s="10"/>
      <c r="F127" s="10"/>
      <c r="G127" s="10"/>
      <c r="H127" s="4"/>
      <c r="I127" s="10"/>
      <c r="J127" s="10"/>
      <c r="K127" s="10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5">
        <f t="shared" si="12"/>
        <v>114</v>
      </c>
      <c r="B128" s="8" t="s">
        <v>5</v>
      </c>
      <c r="C128" s="4"/>
      <c r="D128" s="10"/>
      <c r="E128" s="10"/>
      <c r="F128" s="10"/>
      <c r="G128" s="10"/>
      <c r="H128" s="4"/>
      <c r="I128" s="10"/>
      <c r="J128" s="10"/>
      <c r="K128" s="10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5">
        <f t="shared" si="12"/>
        <v>115</v>
      </c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5">
        <f t="shared" si="12"/>
        <v>116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5">
        <f t="shared" si="12"/>
        <v>117</v>
      </c>
      <c r="B131" s="7" t="s">
        <v>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5">
        <f t="shared" si="12"/>
        <v>118</v>
      </c>
      <c r="B132" s="7" t="s">
        <v>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>
      <c r="A133" s="5">
        <f t="shared" si="12"/>
        <v>119</v>
      </c>
      <c r="B133" s="8" t="s">
        <v>399</v>
      </c>
      <c r="C133" s="4">
        <f>SUM(M133:O133)</f>
        <v>0</v>
      </c>
      <c r="D133" s="4">
        <f>SUM(Q133:S133)</f>
        <v>0</v>
      </c>
      <c r="E133" s="4"/>
      <c r="F133" s="4"/>
      <c r="G133" s="4">
        <f>ROUND(SUM(C133:F133)/2,0)</f>
        <v>0</v>
      </c>
      <c r="H133" s="4"/>
      <c r="I133" s="4">
        <f>(M133+Q133)/2</f>
        <v>0</v>
      </c>
      <c r="J133" s="4">
        <f>(N133+R133)/2</f>
        <v>0</v>
      </c>
      <c r="K133" s="4">
        <f>(O133+S133)/2</f>
        <v>0</v>
      </c>
      <c r="L133" s="4"/>
      <c r="M133" s="9">
        <v>0</v>
      </c>
      <c r="N133" s="9">
        <v>0</v>
      </c>
      <c r="O133" s="9">
        <v>0</v>
      </c>
      <c r="P133" s="4"/>
      <c r="Q133" s="9">
        <v>0</v>
      </c>
      <c r="R133" s="9">
        <v>0</v>
      </c>
      <c r="S133" s="9">
        <v>0</v>
      </c>
    </row>
    <row r="134" spans="1:19" ht="12.75">
      <c r="A134" s="5">
        <f t="shared" si="12"/>
        <v>120</v>
      </c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5">
        <f t="shared" si="12"/>
        <v>121</v>
      </c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3.5" thickBot="1">
      <c r="A136" s="5">
        <f t="shared" si="12"/>
        <v>122</v>
      </c>
      <c r="B136" s="7" t="s">
        <v>0</v>
      </c>
      <c r="C136" s="6">
        <f>SUM(C133:C135)</f>
        <v>0</v>
      </c>
      <c r="D136" s="6">
        <f>SUM(D133:D135)</f>
        <v>0</v>
      </c>
      <c r="E136" s="6">
        <f>SUM(E133:E135)</f>
        <v>0</v>
      </c>
      <c r="F136" s="6">
        <f>SUM(F133:F135)</f>
        <v>0</v>
      </c>
      <c r="G136" s="6">
        <f>SUM(G133:G135)</f>
        <v>0</v>
      </c>
      <c r="H136" s="4"/>
      <c r="I136" s="6">
        <f>SUM(I133:I135)</f>
        <v>0</v>
      </c>
      <c r="J136" s="6">
        <f>SUM(J133:J135)</f>
        <v>0</v>
      </c>
      <c r="K136" s="6">
        <f>SUM(K133:K135)</f>
        <v>0</v>
      </c>
      <c r="L136" s="4"/>
      <c r="M136" s="6">
        <f>SUM(M133:M135)</f>
        <v>0</v>
      </c>
      <c r="N136" s="6">
        <f>SUM(N133:N135)</f>
        <v>0</v>
      </c>
      <c r="O136" s="6">
        <f>SUM(O133:O135)</f>
        <v>0</v>
      </c>
      <c r="P136" s="4"/>
      <c r="Q136" s="6">
        <f>SUM(Q133:Q135)</f>
        <v>0</v>
      </c>
      <c r="R136" s="6">
        <f>SUM(R133:R135)</f>
        <v>0</v>
      </c>
      <c r="S136" s="6">
        <f>SUM(S133:S135)</f>
        <v>0</v>
      </c>
    </row>
    <row r="137" spans="1:19" ht="13.5" thickTop="1">
      <c r="A137" s="5"/>
      <c r="C137" s="3"/>
      <c r="D137" s="3"/>
      <c r="E137" s="3"/>
      <c r="F137" s="3"/>
      <c r="G137" s="3"/>
      <c r="H137" s="4"/>
      <c r="I137" s="3"/>
      <c r="J137" s="3"/>
      <c r="K137" s="3"/>
      <c r="L137" s="4"/>
      <c r="M137" s="3"/>
      <c r="N137" s="3"/>
      <c r="O137" s="3"/>
      <c r="P137" s="4"/>
      <c r="Q137" s="3"/>
      <c r="R137" s="3"/>
      <c r="S137" s="3"/>
    </row>
    <row r="138" spans="1:19" ht="12.75">
      <c r="A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</sheetData>
  <sheetProtection/>
  <printOptions/>
  <pageMargins left="0.75" right="0.25" top="0.5" bottom="0.5" header="0.25" footer="0.25"/>
  <pageSetup horizontalDpi="600" verticalDpi="600" orientation="portrait" scale="65" r:id="rId3"/>
  <headerFooter alignWithMargins="0">
    <oddHeader>&amp;RSTATEMENT AF
PAGE &amp;P OF &amp;N</oddHeader>
  </headerFooter>
  <rowBreaks count="1" manualBreakCount="1">
    <brk id="61" max="18" man="1"/>
  </rowBreaks>
  <colBreaks count="3" manualBreakCount="3">
    <brk id="7" max="112" man="1"/>
    <brk id="11" max="65535" man="1"/>
    <brk id="15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8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4" sqref="B24"/>
    </sheetView>
  </sheetViews>
  <sheetFormatPr defaultColWidth="12.7109375" defaultRowHeight="12.75"/>
  <cols>
    <col min="1" max="1" width="4.7109375" style="2" customWidth="1"/>
    <col min="2" max="2" width="54.7109375" style="1" customWidth="1"/>
    <col min="3" max="7" width="15.7109375" style="1" customWidth="1"/>
    <col min="8" max="8" width="2.7109375" style="1" customWidth="1"/>
    <col min="9" max="11" width="15.7109375" style="1" customWidth="1"/>
    <col min="12" max="12" width="2.7109375" style="1" customWidth="1"/>
    <col min="13" max="15" width="15.7109375" style="1" customWidth="1"/>
    <col min="16" max="16" width="2.710937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26" t="s">
        <v>462</v>
      </c>
      <c r="G1" s="7"/>
      <c r="H1" s="7"/>
      <c r="I1" s="7"/>
      <c r="J1" s="7"/>
      <c r="K1" s="7"/>
      <c r="L1" s="7"/>
      <c r="T1" s="41"/>
    </row>
    <row r="2" spans="2:20" ht="12.75">
      <c r="B2" s="26" t="s">
        <v>182</v>
      </c>
      <c r="G2" s="8"/>
      <c r="H2" s="8"/>
      <c r="I2" s="8"/>
      <c r="J2" s="8"/>
      <c r="K2" s="8"/>
      <c r="L2" s="8"/>
      <c r="T2" s="8"/>
    </row>
    <row r="3" ht="12.75">
      <c r="B3" s="26" t="s">
        <v>179</v>
      </c>
    </row>
    <row r="4" ht="12.75">
      <c r="B4" s="5"/>
    </row>
    <row r="5" ht="12.75">
      <c r="B5" s="24"/>
    </row>
    <row r="6" spans="7:12" ht="12.75">
      <c r="G6" s="25" t="s">
        <v>183</v>
      </c>
      <c r="H6" s="25"/>
      <c r="I6" s="25"/>
      <c r="J6" s="25"/>
      <c r="K6" s="25"/>
      <c r="L6" s="25"/>
    </row>
    <row r="8" spans="2:19" ht="12.75">
      <c r="B8" s="18" t="s">
        <v>177</v>
      </c>
      <c r="C8" s="18" t="s">
        <v>176</v>
      </c>
      <c r="D8" s="18" t="s">
        <v>175</v>
      </c>
      <c r="E8" s="18" t="s">
        <v>174</v>
      </c>
      <c r="F8" s="18" t="s">
        <v>173</v>
      </c>
      <c r="G8" s="18" t="s">
        <v>172</v>
      </c>
      <c r="H8" s="18"/>
      <c r="I8" s="18" t="s">
        <v>171</v>
      </c>
      <c r="J8" s="18" t="s">
        <v>170</v>
      </c>
      <c r="K8" s="18" t="s">
        <v>169</v>
      </c>
      <c r="L8" s="18"/>
      <c r="M8" s="18" t="s">
        <v>168</v>
      </c>
      <c r="N8" s="18" t="s">
        <v>167</v>
      </c>
      <c r="O8" s="18" t="s">
        <v>166</v>
      </c>
      <c r="Q8" s="18" t="s">
        <v>165</v>
      </c>
      <c r="R8" s="18" t="s">
        <v>164</v>
      </c>
      <c r="S8" s="18" t="s">
        <v>163</v>
      </c>
    </row>
    <row r="10" spans="3:19" ht="12.75">
      <c r="C10" s="21" t="s">
        <v>162</v>
      </c>
      <c r="D10" s="21"/>
      <c r="E10" s="23" t="s">
        <v>161</v>
      </c>
      <c r="F10" s="21"/>
      <c r="G10" s="19" t="s">
        <v>160</v>
      </c>
      <c r="H10" s="19"/>
      <c r="I10" s="22" t="s">
        <v>159</v>
      </c>
      <c r="J10" s="21"/>
      <c r="K10" s="21"/>
      <c r="L10" s="19"/>
      <c r="M10" s="36" t="s">
        <v>158</v>
      </c>
      <c r="N10" s="21"/>
      <c r="O10" s="21"/>
      <c r="Q10" s="36" t="s">
        <v>157</v>
      </c>
      <c r="R10" s="21"/>
      <c r="S10" s="21"/>
    </row>
    <row r="11" spans="3:19" ht="12.75">
      <c r="C11" s="20"/>
      <c r="D11" s="20"/>
      <c r="G11" s="19" t="s">
        <v>156</v>
      </c>
      <c r="H11" s="19"/>
      <c r="I11" s="20"/>
      <c r="J11" s="20"/>
      <c r="K11" s="20"/>
      <c r="L11" s="19"/>
      <c r="M11" s="20"/>
      <c r="N11" s="20"/>
      <c r="O11" s="20"/>
      <c r="Q11" s="20"/>
      <c r="R11" s="20"/>
      <c r="S11" s="20"/>
    </row>
    <row r="12" spans="3:12" ht="12.75">
      <c r="C12" s="19" t="s">
        <v>155</v>
      </c>
      <c r="D12" s="19" t="s">
        <v>155</v>
      </c>
      <c r="E12" s="19" t="s">
        <v>155</v>
      </c>
      <c r="F12" s="19" t="s">
        <v>155</v>
      </c>
      <c r="G12" s="19" t="s">
        <v>154</v>
      </c>
      <c r="H12" s="19"/>
      <c r="L12" s="19"/>
    </row>
    <row r="13" spans="2:19" ht="12.75">
      <c r="B13" s="18" t="s">
        <v>153</v>
      </c>
      <c r="C13" s="18" t="s">
        <v>152</v>
      </c>
      <c r="D13" s="18" t="s">
        <v>151</v>
      </c>
      <c r="E13" s="18" t="str">
        <f>C13</f>
        <v>OF 12-31-15</v>
      </c>
      <c r="F13" s="18" t="str">
        <f>D13</f>
        <v>OF 12-31-14</v>
      </c>
      <c r="G13" s="18" t="s">
        <v>150</v>
      </c>
      <c r="H13" s="18"/>
      <c r="I13" s="18" t="s">
        <v>149</v>
      </c>
      <c r="J13" s="18" t="s">
        <v>148</v>
      </c>
      <c r="K13" s="18" t="s">
        <v>147</v>
      </c>
      <c r="L13" s="18"/>
      <c r="M13" s="18" t="s">
        <v>149</v>
      </c>
      <c r="N13" s="18" t="s">
        <v>148</v>
      </c>
      <c r="O13" s="18" t="s">
        <v>147</v>
      </c>
      <c r="Q13" s="18" t="s">
        <v>149</v>
      </c>
      <c r="R13" s="18" t="s">
        <v>148</v>
      </c>
      <c r="S13" s="18" t="s">
        <v>147</v>
      </c>
    </row>
    <row r="15" spans="1:20" ht="12.75">
      <c r="A15" s="38">
        <v>1</v>
      </c>
      <c r="B15" s="11" t="s">
        <v>184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38">
        <f aca="true" t="shared" si="0" ref="A16:A79">A15+1</f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38">
        <f t="shared" si="0"/>
        <v>3</v>
      </c>
      <c r="B17" s="4" t="s">
        <v>185</v>
      </c>
      <c r="C17" s="4">
        <f>SUM(M17:O17)</f>
        <v>189220</v>
      </c>
      <c r="D17" s="4">
        <f>SUM(Q17:S17)</f>
        <v>260887</v>
      </c>
      <c r="E17" s="4"/>
      <c r="F17" s="4"/>
      <c r="G17" s="4">
        <f aca="true" t="shared" si="1" ref="G17:G77">ROUND(SUM(C17:F17)/2,0)</f>
        <v>225054</v>
      </c>
      <c r="H17" s="4"/>
      <c r="I17" s="4">
        <f>(M17+Q17)/2</f>
        <v>189729</v>
      </c>
      <c r="J17" s="4">
        <f>(N17+R17)/2</f>
        <v>1885</v>
      </c>
      <c r="K17" s="4">
        <f>(O17+S17)/2</f>
        <v>33439.5</v>
      </c>
      <c r="L17" s="4"/>
      <c r="M17" s="14">
        <v>165089</v>
      </c>
      <c r="N17" s="14">
        <v>3770</v>
      </c>
      <c r="O17" s="14">
        <v>20361</v>
      </c>
      <c r="P17" s="4"/>
      <c r="Q17" s="14">
        <v>214369</v>
      </c>
      <c r="R17" s="14">
        <v>0</v>
      </c>
      <c r="S17" s="14">
        <v>46518</v>
      </c>
      <c r="T17" s="4"/>
    </row>
    <row r="18" spans="1:20" ht="12.75">
      <c r="A18" s="38">
        <f t="shared" si="0"/>
        <v>4</v>
      </c>
      <c r="B18" s="4" t="s">
        <v>186</v>
      </c>
      <c r="C18" s="4">
        <f aca="true" t="shared" si="2" ref="C18:C77">SUM(M18:O18)</f>
        <v>8218544.569999999</v>
      </c>
      <c r="D18" s="4">
        <f aca="true" t="shared" si="3" ref="D18:D77">SUM(Q18:S18)</f>
        <v>7961442.159999999</v>
      </c>
      <c r="E18" s="4"/>
      <c r="F18" s="4"/>
      <c r="G18" s="4">
        <f t="shared" si="1"/>
        <v>8089993</v>
      </c>
      <c r="H18" s="4"/>
      <c r="I18" s="4">
        <f aca="true" t="shared" si="4" ref="I18:K77">(M18+Q18)/2</f>
        <v>3983246.65</v>
      </c>
      <c r="J18" s="4">
        <f t="shared" si="4"/>
        <v>2508911.28</v>
      </c>
      <c r="K18" s="4">
        <f t="shared" si="4"/>
        <v>1597835.4349999998</v>
      </c>
      <c r="L18" s="4"/>
      <c r="M18" s="14">
        <v>4145771.63</v>
      </c>
      <c r="N18" s="14">
        <v>2481450.8</v>
      </c>
      <c r="O18" s="14">
        <v>1591322.14</v>
      </c>
      <c r="P18" s="4"/>
      <c r="Q18" s="14">
        <f>5564002.29-1743280.62</f>
        <v>3820721.67</v>
      </c>
      <c r="R18" s="14">
        <f>3581543.73-1045171.97</f>
        <v>2536371.76</v>
      </c>
      <c r="S18" s="14">
        <f>2692316.32-1087967.59</f>
        <v>1604348.7299999997</v>
      </c>
      <c r="T18" s="4"/>
    </row>
    <row r="19" spans="1:20" ht="12.75">
      <c r="A19" s="38">
        <f t="shared" si="0"/>
        <v>5</v>
      </c>
      <c r="B19" s="4" t="s">
        <v>403</v>
      </c>
      <c r="C19" s="4">
        <f t="shared" si="2"/>
        <v>1892168.39</v>
      </c>
      <c r="D19" s="4">
        <f t="shared" si="3"/>
        <v>2013260.29</v>
      </c>
      <c r="E19" s="4"/>
      <c r="F19" s="4"/>
      <c r="G19" s="4">
        <f t="shared" si="1"/>
        <v>1952714</v>
      </c>
      <c r="H19" s="4"/>
      <c r="I19" s="4">
        <f t="shared" si="4"/>
        <v>154967.75</v>
      </c>
      <c r="J19" s="4">
        <f t="shared" si="4"/>
        <v>141556.03499999997</v>
      </c>
      <c r="K19" s="4">
        <f t="shared" si="4"/>
        <v>1656190.555</v>
      </c>
      <c r="L19" s="4"/>
      <c r="M19" s="14">
        <v>147161</v>
      </c>
      <c r="N19" s="14">
        <v>133066.96</v>
      </c>
      <c r="O19" s="14">
        <v>1611940.43</v>
      </c>
      <c r="P19" s="4"/>
      <c r="Q19" s="14">
        <v>162774.5</v>
      </c>
      <c r="R19" s="14">
        <v>150045.11</v>
      </c>
      <c r="S19" s="14">
        <v>1700440.68</v>
      </c>
      <c r="T19" s="4"/>
    </row>
    <row r="20" spans="1:20" ht="12.75">
      <c r="A20" s="38">
        <f t="shared" si="0"/>
        <v>6</v>
      </c>
      <c r="B20" s="4" t="s">
        <v>404</v>
      </c>
      <c r="C20" s="4">
        <f t="shared" si="2"/>
        <v>-6.7</v>
      </c>
      <c r="D20" s="4">
        <f t="shared" si="3"/>
        <v>-14233.93</v>
      </c>
      <c r="E20" s="4"/>
      <c r="F20" s="4"/>
      <c r="G20" s="4">
        <f t="shared" si="1"/>
        <v>-7120</v>
      </c>
      <c r="H20" s="4"/>
      <c r="I20" s="4">
        <f t="shared" si="4"/>
        <v>0</v>
      </c>
      <c r="J20" s="4">
        <f t="shared" si="4"/>
        <v>0</v>
      </c>
      <c r="K20" s="4">
        <f t="shared" si="4"/>
        <v>-7120.3150000000005</v>
      </c>
      <c r="L20" s="4"/>
      <c r="M20" s="14">
        <v>0</v>
      </c>
      <c r="N20" s="14">
        <v>0</v>
      </c>
      <c r="O20" s="14">
        <v>-6.7</v>
      </c>
      <c r="P20" s="4"/>
      <c r="Q20" s="14">
        <v>0</v>
      </c>
      <c r="R20" s="14">
        <v>0</v>
      </c>
      <c r="S20" s="14">
        <v>-14233.93</v>
      </c>
      <c r="T20" s="4"/>
    </row>
    <row r="21" spans="1:20" ht="12.75">
      <c r="A21" s="38">
        <f t="shared" si="0"/>
        <v>7</v>
      </c>
      <c r="B21" s="64" t="s">
        <v>493</v>
      </c>
      <c r="C21" s="4">
        <f t="shared" si="2"/>
        <v>1755335.41</v>
      </c>
      <c r="D21" s="4">
        <f t="shared" si="3"/>
        <v>1080272.24</v>
      </c>
      <c r="E21" s="4"/>
      <c r="F21" s="4"/>
      <c r="G21" s="4">
        <f t="shared" si="1"/>
        <v>1417804</v>
      </c>
      <c r="H21" s="4"/>
      <c r="I21" s="4">
        <f t="shared" si="4"/>
        <v>1417803.825</v>
      </c>
      <c r="J21" s="4">
        <f t="shared" si="4"/>
        <v>0</v>
      </c>
      <c r="K21" s="4">
        <f t="shared" si="4"/>
        <v>0</v>
      </c>
      <c r="L21" s="4"/>
      <c r="M21" s="14">
        <v>1755335.41</v>
      </c>
      <c r="N21" s="14">
        <v>0</v>
      </c>
      <c r="O21" s="14">
        <v>0</v>
      </c>
      <c r="P21" s="4"/>
      <c r="Q21" s="14">
        <v>1080272.24</v>
      </c>
      <c r="R21" s="14">
        <v>0</v>
      </c>
      <c r="S21" s="14">
        <v>0</v>
      </c>
      <c r="T21" s="4"/>
    </row>
    <row r="22" spans="1:20" ht="12.75">
      <c r="A22" s="38">
        <f t="shared" si="0"/>
        <v>8</v>
      </c>
      <c r="B22" s="64" t="s">
        <v>494</v>
      </c>
      <c r="C22" s="4">
        <f t="shared" si="2"/>
        <v>1765264.04</v>
      </c>
      <c r="D22" s="4">
        <f t="shared" si="3"/>
        <v>1765264.04</v>
      </c>
      <c r="E22" s="4"/>
      <c r="F22" s="4"/>
      <c r="G22" s="4">
        <f t="shared" si="1"/>
        <v>1765264</v>
      </c>
      <c r="H22" s="4"/>
      <c r="I22" s="4">
        <f t="shared" si="4"/>
        <v>1765264.04</v>
      </c>
      <c r="J22" s="4">
        <f t="shared" si="4"/>
        <v>0</v>
      </c>
      <c r="K22" s="4">
        <f t="shared" si="4"/>
        <v>0</v>
      </c>
      <c r="L22" s="4"/>
      <c r="M22" s="14">
        <v>1765264.04</v>
      </c>
      <c r="N22" s="14">
        <v>0</v>
      </c>
      <c r="O22" s="14">
        <v>0</v>
      </c>
      <c r="P22" s="4"/>
      <c r="Q22" s="14">
        <v>1765264.04</v>
      </c>
      <c r="R22" s="14">
        <v>0</v>
      </c>
      <c r="S22" s="14">
        <v>0</v>
      </c>
      <c r="T22" s="4"/>
    </row>
    <row r="23" spans="1:20" ht="12.75">
      <c r="A23" s="38">
        <f t="shared" si="0"/>
        <v>9</v>
      </c>
      <c r="B23" s="64" t="s">
        <v>495</v>
      </c>
      <c r="C23" s="4">
        <f t="shared" si="2"/>
        <v>1367947.3</v>
      </c>
      <c r="D23" s="4">
        <f t="shared" si="3"/>
        <v>1367947.3</v>
      </c>
      <c r="E23" s="4"/>
      <c r="F23" s="4"/>
      <c r="G23" s="4">
        <f t="shared" si="1"/>
        <v>1367947</v>
      </c>
      <c r="H23" s="4"/>
      <c r="I23" s="4">
        <f t="shared" si="4"/>
        <v>1367947.3</v>
      </c>
      <c r="J23" s="4">
        <f t="shared" si="4"/>
        <v>0</v>
      </c>
      <c r="K23" s="4">
        <f t="shared" si="4"/>
        <v>0</v>
      </c>
      <c r="L23" s="4"/>
      <c r="M23" s="14">
        <v>1367947.3</v>
      </c>
      <c r="N23" s="14">
        <v>0</v>
      </c>
      <c r="O23" s="14">
        <v>0</v>
      </c>
      <c r="P23" s="4"/>
      <c r="Q23" s="14">
        <v>1367947.3</v>
      </c>
      <c r="R23" s="14">
        <v>0</v>
      </c>
      <c r="S23" s="14">
        <v>0</v>
      </c>
      <c r="T23" s="4"/>
    </row>
    <row r="24" spans="1:20" ht="12.75">
      <c r="A24" s="38">
        <f t="shared" si="0"/>
        <v>10</v>
      </c>
      <c r="B24" s="11" t="s">
        <v>194</v>
      </c>
      <c r="C24" s="4">
        <f t="shared" si="2"/>
        <v>402860.89</v>
      </c>
      <c r="D24" s="4">
        <f t="shared" si="3"/>
        <v>11065011.950000001</v>
      </c>
      <c r="E24" s="4"/>
      <c r="F24" s="4"/>
      <c r="G24" s="4">
        <f t="shared" si="1"/>
        <v>5733936</v>
      </c>
      <c r="H24" s="4"/>
      <c r="I24" s="4">
        <f t="shared" si="4"/>
        <v>5342077.78</v>
      </c>
      <c r="J24" s="4">
        <f t="shared" si="4"/>
        <v>391858.64</v>
      </c>
      <c r="K24" s="4">
        <f t="shared" si="4"/>
        <v>0</v>
      </c>
      <c r="L24" s="4"/>
      <c r="M24" s="14">
        <v>11002.25</v>
      </c>
      <c r="N24" s="14">
        <v>391858.64</v>
      </c>
      <c r="O24" s="14">
        <v>0</v>
      </c>
      <c r="P24" s="4"/>
      <c r="Q24" s="14">
        <v>10673153.31</v>
      </c>
      <c r="R24" s="14">
        <v>391858.64</v>
      </c>
      <c r="S24" s="14">
        <v>0</v>
      </c>
      <c r="T24" s="4"/>
    </row>
    <row r="25" spans="1:20" ht="12.75">
      <c r="A25" s="38">
        <f t="shared" si="0"/>
        <v>11</v>
      </c>
      <c r="B25" s="4" t="s">
        <v>496</v>
      </c>
      <c r="C25" s="4">
        <f t="shared" si="2"/>
        <v>0</v>
      </c>
      <c r="D25" s="4">
        <f t="shared" si="3"/>
        <v>0</v>
      </c>
      <c r="E25" s="4"/>
      <c r="F25" s="4"/>
      <c r="G25" s="4">
        <f t="shared" si="1"/>
        <v>0</v>
      </c>
      <c r="H25" s="4"/>
      <c r="I25" s="4">
        <f t="shared" si="4"/>
        <v>0</v>
      </c>
      <c r="J25" s="4">
        <f t="shared" si="4"/>
        <v>0</v>
      </c>
      <c r="K25" s="4">
        <f t="shared" si="4"/>
        <v>0</v>
      </c>
      <c r="L25" s="4"/>
      <c r="M25" s="14">
        <v>0</v>
      </c>
      <c r="N25" s="14">
        <v>0</v>
      </c>
      <c r="O25" s="14">
        <v>0</v>
      </c>
      <c r="P25" s="4"/>
      <c r="Q25" s="14">
        <v>0</v>
      </c>
      <c r="R25" s="14">
        <v>0</v>
      </c>
      <c r="S25" s="14">
        <v>0</v>
      </c>
      <c r="T25" s="4"/>
    </row>
    <row r="26" spans="1:20" ht="12.75">
      <c r="A26" s="38">
        <f t="shared" si="0"/>
        <v>12</v>
      </c>
      <c r="B26" s="11" t="s">
        <v>197</v>
      </c>
      <c r="C26" s="4">
        <f t="shared" si="2"/>
        <v>-256592</v>
      </c>
      <c r="D26" s="4">
        <f t="shared" si="3"/>
        <v>977891.95</v>
      </c>
      <c r="E26" s="4"/>
      <c r="F26" s="4"/>
      <c r="G26" s="4">
        <f t="shared" si="1"/>
        <v>360650</v>
      </c>
      <c r="H26" s="4"/>
      <c r="I26" s="4">
        <f t="shared" si="4"/>
        <v>360649.975</v>
      </c>
      <c r="J26" s="4">
        <f t="shared" si="4"/>
        <v>0</v>
      </c>
      <c r="K26" s="4">
        <f t="shared" si="4"/>
        <v>0</v>
      </c>
      <c r="L26" s="4"/>
      <c r="M26" s="14">
        <v>-256592</v>
      </c>
      <c r="N26" s="14">
        <v>0</v>
      </c>
      <c r="O26" s="14">
        <v>0</v>
      </c>
      <c r="P26" s="4"/>
      <c r="Q26" s="14">
        <v>977891.95</v>
      </c>
      <c r="R26" s="14">
        <v>0</v>
      </c>
      <c r="S26" s="14">
        <v>0</v>
      </c>
      <c r="T26" s="4"/>
    </row>
    <row r="27" spans="1:20" ht="12.75">
      <c r="A27" s="38">
        <f t="shared" si="0"/>
        <v>13</v>
      </c>
      <c r="B27" s="11" t="s">
        <v>198</v>
      </c>
      <c r="C27" s="4">
        <f t="shared" si="2"/>
        <v>999312.05</v>
      </c>
      <c r="D27" s="4">
        <f t="shared" si="3"/>
        <v>1009017.2699999999</v>
      </c>
      <c r="E27" s="4"/>
      <c r="F27" s="4"/>
      <c r="G27" s="4">
        <f t="shared" si="1"/>
        <v>1004165</v>
      </c>
      <c r="H27" s="4"/>
      <c r="I27" s="4">
        <f t="shared" si="4"/>
        <v>642150.365</v>
      </c>
      <c r="J27" s="4">
        <f t="shared" si="4"/>
        <v>20990.655</v>
      </c>
      <c r="K27" s="4">
        <f t="shared" si="4"/>
        <v>341023.64</v>
      </c>
      <c r="L27" s="4"/>
      <c r="M27" s="14">
        <v>658818.75</v>
      </c>
      <c r="N27" s="14">
        <v>16594.62</v>
      </c>
      <c r="O27" s="14">
        <v>323898.68</v>
      </c>
      <c r="P27" s="4"/>
      <c r="Q27" s="14">
        <v>625481.98</v>
      </c>
      <c r="R27" s="14">
        <v>25386.69</v>
      </c>
      <c r="S27" s="14">
        <v>358148.6</v>
      </c>
      <c r="T27" s="4"/>
    </row>
    <row r="28" spans="1:20" ht="12.75">
      <c r="A28" s="38">
        <f t="shared" si="0"/>
        <v>14</v>
      </c>
      <c r="B28" s="4" t="s">
        <v>87</v>
      </c>
      <c r="C28" s="4">
        <f t="shared" si="2"/>
        <v>-16503323.95</v>
      </c>
      <c r="D28" s="4">
        <f t="shared" si="3"/>
        <v>-16693434.26</v>
      </c>
      <c r="E28" s="4"/>
      <c r="F28" s="4"/>
      <c r="G28" s="4">
        <f t="shared" si="1"/>
        <v>-16598379</v>
      </c>
      <c r="H28" s="4"/>
      <c r="I28" s="4">
        <f t="shared" si="4"/>
        <v>-12398869.385</v>
      </c>
      <c r="J28" s="4">
        <f t="shared" si="4"/>
        <v>-185176.52</v>
      </c>
      <c r="K28" s="4">
        <f t="shared" si="4"/>
        <v>-4014333.2</v>
      </c>
      <c r="L28" s="4"/>
      <c r="M28" s="14">
        <v>-12457638.03</v>
      </c>
      <c r="N28" s="14">
        <v>-173012.11</v>
      </c>
      <c r="O28" s="14">
        <v>-3872673.81</v>
      </c>
      <c r="P28" s="4"/>
      <c r="Q28" s="14">
        <v>-12340100.74</v>
      </c>
      <c r="R28" s="14">
        <v>-197340.93</v>
      </c>
      <c r="S28" s="14">
        <v>-4155992.59</v>
      </c>
      <c r="T28" s="4"/>
    </row>
    <row r="29" spans="1:20" ht="12.75">
      <c r="A29" s="38">
        <f t="shared" si="0"/>
        <v>15</v>
      </c>
      <c r="B29" s="11" t="s">
        <v>199</v>
      </c>
      <c r="C29" s="4">
        <f t="shared" si="2"/>
        <v>48526.35</v>
      </c>
      <c r="D29" s="4">
        <f t="shared" si="3"/>
        <v>47376.94</v>
      </c>
      <c r="E29" s="4"/>
      <c r="F29" s="4"/>
      <c r="G29" s="4">
        <f t="shared" si="1"/>
        <v>47952</v>
      </c>
      <c r="H29" s="4"/>
      <c r="I29" s="4">
        <f t="shared" si="4"/>
        <v>53.36</v>
      </c>
      <c r="J29" s="4">
        <f t="shared" si="4"/>
        <v>0</v>
      </c>
      <c r="K29" s="4">
        <f t="shared" si="4"/>
        <v>47898.285</v>
      </c>
      <c r="L29" s="4"/>
      <c r="M29" s="14">
        <v>53.36</v>
      </c>
      <c r="N29" s="14">
        <v>0</v>
      </c>
      <c r="O29" s="14">
        <v>48472.99</v>
      </c>
      <c r="P29" s="4"/>
      <c r="Q29" s="14">
        <v>53.36</v>
      </c>
      <c r="R29" s="14">
        <v>0</v>
      </c>
      <c r="S29" s="14">
        <v>47323.58</v>
      </c>
      <c r="T29" s="4"/>
    </row>
    <row r="30" spans="1:20" ht="12.75">
      <c r="A30" s="38">
        <f t="shared" si="0"/>
        <v>16</v>
      </c>
      <c r="B30" s="11" t="s">
        <v>200</v>
      </c>
      <c r="C30" s="4">
        <f t="shared" si="2"/>
        <v>-43420.649999999994</v>
      </c>
      <c r="D30" s="4">
        <f t="shared" si="3"/>
        <v>-39359.95</v>
      </c>
      <c r="E30" s="4"/>
      <c r="F30" s="4"/>
      <c r="G30" s="4">
        <f t="shared" si="1"/>
        <v>-41390</v>
      </c>
      <c r="H30" s="4"/>
      <c r="I30" s="4">
        <f t="shared" si="4"/>
        <v>-53.2</v>
      </c>
      <c r="J30" s="4">
        <f t="shared" si="4"/>
        <v>0</v>
      </c>
      <c r="K30" s="4">
        <f t="shared" si="4"/>
        <v>-41337.1</v>
      </c>
      <c r="L30" s="4"/>
      <c r="M30" s="14">
        <v>-53.2</v>
      </c>
      <c r="N30" s="14">
        <v>0</v>
      </c>
      <c r="O30" s="14">
        <v>-43367.45</v>
      </c>
      <c r="P30" s="4"/>
      <c r="Q30" s="14">
        <v>-53.2</v>
      </c>
      <c r="R30" s="14">
        <v>0</v>
      </c>
      <c r="S30" s="14">
        <v>-39306.75</v>
      </c>
      <c r="T30" s="4"/>
    </row>
    <row r="31" spans="1:20" ht="12.75">
      <c r="A31" s="38">
        <f t="shared" si="0"/>
        <v>17</v>
      </c>
      <c r="B31" s="4" t="s">
        <v>201</v>
      </c>
      <c r="C31" s="4">
        <f t="shared" si="2"/>
        <v>17893.38</v>
      </c>
      <c r="D31" s="4">
        <f t="shared" si="3"/>
        <v>51251.22</v>
      </c>
      <c r="E31" s="4"/>
      <c r="F31" s="4"/>
      <c r="G31" s="4">
        <f t="shared" si="1"/>
        <v>34572</v>
      </c>
      <c r="H31" s="4"/>
      <c r="I31" s="4">
        <f t="shared" si="4"/>
        <v>7203.76</v>
      </c>
      <c r="J31" s="4">
        <f t="shared" si="4"/>
        <v>0</v>
      </c>
      <c r="K31" s="4">
        <f t="shared" si="4"/>
        <v>27368.54</v>
      </c>
      <c r="L31" s="4"/>
      <c r="M31" s="14">
        <v>7320.68</v>
      </c>
      <c r="N31" s="14">
        <v>0</v>
      </c>
      <c r="O31" s="14">
        <v>10572.7</v>
      </c>
      <c r="P31" s="4"/>
      <c r="Q31" s="14">
        <v>7086.84</v>
      </c>
      <c r="R31" s="14">
        <v>0</v>
      </c>
      <c r="S31" s="14">
        <v>44164.38</v>
      </c>
      <c r="T31" s="4"/>
    </row>
    <row r="32" spans="1:20" ht="12.75">
      <c r="A32" s="38">
        <f t="shared" si="0"/>
        <v>18</v>
      </c>
      <c r="B32" s="11" t="s">
        <v>203</v>
      </c>
      <c r="C32" s="4">
        <f t="shared" si="2"/>
        <v>230704.57</v>
      </c>
      <c r="D32" s="4">
        <f t="shared" si="3"/>
        <v>249350.18</v>
      </c>
      <c r="E32" s="4"/>
      <c r="F32" s="4"/>
      <c r="G32" s="4">
        <f t="shared" si="1"/>
        <v>240027</v>
      </c>
      <c r="H32" s="4"/>
      <c r="I32" s="4">
        <f t="shared" si="4"/>
        <v>54515.48</v>
      </c>
      <c r="J32" s="4">
        <f t="shared" si="4"/>
        <v>0</v>
      </c>
      <c r="K32" s="4">
        <f t="shared" si="4"/>
        <v>185511.89500000002</v>
      </c>
      <c r="L32" s="4"/>
      <c r="M32" s="14">
        <v>57903.66</v>
      </c>
      <c r="N32" s="14">
        <v>0</v>
      </c>
      <c r="O32" s="14">
        <v>172800.91</v>
      </c>
      <c r="P32" s="4"/>
      <c r="Q32" s="14">
        <v>51127.3</v>
      </c>
      <c r="R32" s="14">
        <v>0</v>
      </c>
      <c r="S32" s="14">
        <v>198222.88</v>
      </c>
      <c r="T32" s="4"/>
    </row>
    <row r="33" spans="1:20" ht="12.75">
      <c r="A33" s="38">
        <f t="shared" si="0"/>
        <v>19</v>
      </c>
      <c r="B33" s="4" t="s">
        <v>204</v>
      </c>
      <c r="C33" s="4">
        <f t="shared" si="2"/>
        <v>84807.97</v>
      </c>
      <c r="D33" s="4">
        <f t="shared" si="3"/>
        <v>30484.79</v>
      </c>
      <c r="E33" s="4"/>
      <c r="F33" s="4"/>
      <c r="G33" s="4">
        <f t="shared" si="1"/>
        <v>57646</v>
      </c>
      <c r="H33" s="4"/>
      <c r="I33" s="4">
        <f t="shared" si="4"/>
        <v>9879.015000000001</v>
      </c>
      <c r="J33" s="4">
        <f t="shared" si="4"/>
        <v>3107.56</v>
      </c>
      <c r="K33" s="4">
        <f t="shared" si="4"/>
        <v>44659.805</v>
      </c>
      <c r="L33" s="4"/>
      <c r="M33" s="14">
        <v>0.24</v>
      </c>
      <c r="N33" s="14">
        <v>3000.81</v>
      </c>
      <c r="O33" s="14">
        <v>81806.92</v>
      </c>
      <c r="P33" s="4"/>
      <c r="Q33" s="14">
        <v>19757.79</v>
      </c>
      <c r="R33" s="14">
        <v>3214.31</v>
      </c>
      <c r="S33" s="14">
        <v>7512.69</v>
      </c>
      <c r="T33" s="4"/>
    </row>
    <row r="34" spans="1:20" ht="12.75">
      <c r="A34" s="38">
        <f t="shared" si="0"/>
        <v>20</v>
      </c>
      <c r="B34" s="4" t="s">
        <v>205</v>
      </c>
      <c r="C34" s="4">
        <f t="shared" si="2"/>
        <v>4913.65</v>
      </c>
      <c r="D34" s="4">
        <f t="shared" si="3"/>
        <v>18631.23</v>
      </c>
      <c r="E34" s="4"/>
      <c r="F34" s="4"/>
      <c r="G34" s="4">
        <f t="shared" si="1"/>
        <v>11772</v>
      </c>
      <c r="H34" s="4"/>
      <c r="I34" s="4">
        <f t="shared" si="4"/>
        <v>11772.425</v>
      </c>
      <c r="J34" s="4">
        <f t="shared" si="4"/>
        <v>0</v>
      </c>
      <c r="K34" s="4">
        <f t="shared" si="4"/>
        <v>0.015</v>
      </c>
      <c r="L34" s="4"/>
      <c r="M34" s="14">
        <v>4913.65</v>
      </c>
      <c r="N34" s="14">
        <v>0</v>
      </c>
      <c r="O34" s="14">
        <v>0</v>
      </c>
      <c r="P34" s="4"/>
      <c r="Q34" s="14">
        <v>18631.2</v>
      </c>
      <c r="R34" s="14">
        <v>0</v>
      </c>
      <c r="S34" s="14">
        <v>0.03</v>
      </c>
      <c r="T34" s="4"/>
    </row>
    <row r="35" spans="1:20" ht="12.75">
      <c r="A35" s="38">
        <f t="shared" si="0"/>
        <v>21</v>
      </c>
      <c r="B35" s="11" t="s">
        <v>206</v>
      </c>
      <c r="C35" s="4">
        <f t="shared" si="2"/>
        <v>-418.25</v>
      </c>
      <c r="D35" s="4">
        <f t="shared" si="3"/>
        <v>-2174.9</v>
      </c>
      <c r="E35" s="4"/>
      <c r="F35" s="4"/>
      <c r="G35" s="4">
        <f t="shared" si="1"/>
        <v>-1297</v>
      </c>
      <c r="H35" s="4"/>
      <c r="I35" s="4">
        <f t="shared" si="4"/>
        <v>-1296.575</v>
      </c>
      <c r="J35" s="4">
        <f t="shared" si="4"/>
        <v>0</v>
      </c>
      <c r="K35" s="4">
        <f t="shared" si="4"/>
        <v>0</v>
      </c>
      <c r="L35" s="4"/>
      <c r="M35" s="14">
        <v>-418.25</v>
      </c>
      <c r="N35" s="14">
        <v>0</v>
      </c>
      <c r="O35" s="14">
        <v>0</v>
      </c>
      <c r="P35" s="4"/>
      <c r="Q35" s="14">
        <v>-2174.9</v>
      </c>
      <c r="R35" s="14">
        <v>0</v>
      </c>
      <c r="S35" s="14">
        <v>0</v>
      </c>
      <c r="T35" s="4"/>
    </row>
    <row r="36" spans="1:20" ht="12.75">
      <c r="A36" s="38">
        <f t="shared" si="0"/>
        <v>22</v>
      </c>
      <c r="B36" s="11" t="s">
        <v>497</v>
      </c>
      <c r="C36" s="4">
        <f>SUM(M36:O36)</f>
        <v>493.68</v>
      </c>
      <c r="D36" s="4">
        <f>SUM(Q36:S36)</f>
        <v>11191554.68</v>
      </c>
      <c r="E36" s="4"/>
      <c r="F36" s="4"/>
      <c r="G36" s="4">
        <f>ROUND(SUM(C36:F36)/2,0)</f>
        <v>5596024</v>
      </c>
      <c r="H36" s="4"/>
      <c r="I36" s="4">
        <f t="shared" si="4"/>
        <v>5596024.18</v>
      </c>
      <c r="J36" s="4">
        <f t="shared" si="4"/>
        <v>0</v>
      </c>
      <c r="K36" s="4">
        <f t="shared" si="4"/>
        <v>0</v>
      </c>
      <c r="L36" s="4"/>
      <c r="M36" s="14">
        <v>493.68</v>
      </c>
      <c r="N36" s="14">
        <v>0</v>
      </c>
      <c r="O36" s="14">
        <v>0</v>
      </c>
      <c r="P36" s="4"/>
      <c r="Q36" s="14">
        <v>11191554.68</v>
      </c>
      <c r="R36" s="14">
        <v>0</v>
      </c>
      <c r="S36" s="14">
        <v>0</v>
      </c>
      <c r="T36" s="4"/>
    </row>
    <row r="37" spans="1:20" ht="12.75">
      <c r="A37" s="38">
        <f t="shared" si="0"/>
        <v>23</v>
      </c>
      <c r="B37" s="11" t="s">
        <v>207</v>
      </c>
      <c r="C37" s="4">
        <f>SUM(M37:O37)</f>
        <v>0</v>
      </c>
      <c r="D37" s="4">
        <f>SUM(Q37:S37)</f>
        <v>0</v>
      </c>
      <c r="E37" s="4"/>
      <c r="F37" s="4"/>
      <c r="G37" s="4">
        <f>ROUND(SUM(C37:F37)/2,0)</f>
        <v>0</v>
      </c>
      <c r="H37" s="4"/>
      <c r="I37" s="4">
        <f t="shared" si="4"/>
        <v>0</v>
      </c>
      <c r="J37" s="4">
        <f t="shared" si="4"/>
        <v>0</v>
      </c>
      <c r="K37" s="4">
        <f t="shared" si="4"/>
        <v>0</v>
      </c>
      <c r="L37" s="4"/>
      <c r="M37" s="14">
        <v>0</v>
      </c>
      <c r="N37" s="14">
        <v>0</v>
      </c>
      <c r="O37" s="14">
        <v>0</v>
      </c>
      <c r="P37" s="4"/>
      <c r="Q37" s="14">
        <v>0</v>
      </c>
      <c r="R37" s="14">
        <v>0</v>
      </c>
      <c r="S37" s="14">
        <v>0</v>
      </c>
      <c r="T37" s="4"/>
    </row>
    <row r="38" spans="1:20" ht="12.75">
      <c r="A38" s="38">
        <f t="shared" si="0"/>
        <v>24</v>
      </c>
      <c r="B38" s="4" t="s">
        <v>208</v>
      </c>
      <c r="C38" s="4">
        <f t="shared" si="2"/>
        <v>2004205.58</v>
      </c>
      <c r="D38" s="4">
        <f t="shared" si="3"/>
        <v>2091041.35</v>
      </c>
      <c r="E38" s="4"/>
      <c r="F38" s="4"/>
      <c r="G38" s="4">
        <f t="shared" si="1"/>
        <v>2047623</v>
      </c>
      <c r="H38" s="4"/>
      <c r="I38" s="4">
        <f t="shared" si="4"/>
        <v>1233389.495</v>
      </c>
      <c r="J38" s="4">
        <f t="shared" si="4"/>
        <v>121993.13</v>
      </c>
      <c r="K38" s="4">
        <f t="shared" si="4"/>
        <v>692240.8400000001</v>
      </c>
      <c r="L38" s="4"/>
      <c r="M38" s="14">
        <v>1162851.72</v>
      </c>
      <c r="N38" s="14">
        <v>69655.32</v>
      </c>
      <c r="O38" s="14">
        <v>771698.54</v>
      </c>
      <c r="P38" s="4"/>
      <c r="Q38" s="14">
        <v>1303927.27</v>
      </c>
      <c r="R38" s="14">
        <v>174330.94</v>
      </c>
      <c r="S38" s="14">
        <v>612783.14</v>
      </c>
      <c r="T38" s="4"/>
    </row>
    <row r="39" spans="1:20" ht="12.75">
      <c r="A39" s="38">
        <f t="shared" si="0"/>
        <v>25</v>
      </c>
      <c r="B39" s="4" t="s">
        <v>210</v>
      </c>
      <c r="C39" s="4">
        <f t="shared" si="2"/>
        <v>1266797.3599999999</v>
      </c>
      <c r="D39" s="4">
        <f t="shared" si="3"/>
        <v>1387257.81</v>
      </c>
      <c r="E39" s="4"/>
      <c r="F39" s="4"/>
      <c r="G39" s="4">
        <f t="shared" si="1"/>
        <v>1327028</v>
      </c>
      <c r="H39" s="4"/>
      <c r="I39" s="4">
        <f t="shared" si="4"/>
        <v>832820.225</v>
      </c>
      <c r="J39" s="4">
        <f t="shared" si="4"/>
        <v>2857.8799999999974</v>
      </c>
      <c r="K39" s="4">
        <f t="shared" si="4"/>
        <v>491349.48</v>
      </c>
      <c r="L39" s="4"/>
      <c r="M39" s="14">
        <v>796211.36</v>
      </c>
      <c r="N39" s="14">
        <v>-40817.26</v>
      </c>
      <c r="O39" s="14">
        <v>511403.26</v>
      </c>
      <c r="P39" s="4"/>
      <c r="Q39" s="14">
        <v>869429.09</v>
      </c>
      <c r="R39" s="14">
        <v>46533.02</v>
      </c>
      <c r="S39" s="14">
        <v>471295.7</v>
      </c>
      <c r="T39" s="4"/>
    </row>
    <row r="40" spans="1:20" ht="12.75">
      <c r="A40" s="38">
        <f t="shared" si="0"/>
        <v>26</v>
      </c>
      <c r="B40" s="4" t="s">
        <v>211</v>
      </c>
      <c r="C40" s="4">
        <f t="shared" si="2"/>
        <v>0</v>
      </c>
      <c r="D40" s="4">
        <f t="shared" si="3"/>
        <v>25743.469999999998</v>
      </c>
      <c r="E40" s="4"/>
      <c r="F40" s="4"/>
      <c r="G40" s="4">
        <f t="shared" si="1"/>
        <v>12872</v>
      </c>
      <c r="H40" s="4"/>
      <c r="I40" s="4">
        <f t="shared" si="4"/>
        <v>-0.11</v>
      </c>
      <c r="J40" s="4">
        <f t="shared" si="4"/>
        <v>0</v>
      </c>
      <c r="K40" s="4">
        <f t="shared" si="4"/>
        <v>12871.845</v>
      </c>
      <c r="L40" s="4"/>
      <c r="M40" s="14">
        <v>0</v>
      </c>
      <c r="N40" s="14">
        <v>0</v>
      </c>
      <c r="O40" s="14">
        <v>0</v>
      </c>
      <c r="P40" s="4"/>
      <c r="Q40" s="14">
        <v>-0.22</v>
      </c>
      <c r="R40" s="14">
        <v>0</v>
      </c>
      <c r="S40" s="14">
        <v>25743.69</v>
      </c>
      <c r="T40" s="4"/>
    </row>
    <row r="41" spans="1:20" ht="12.75">
      <c r="A41" s="38">
        <f t="shared" si="0"/>
        <v>27</v>
      </c>
      <c r="B41" s="11" t="s">
        <v>212</v>
      </c>
      <c r="C41" s="4">
        <f t="shared" si="2"/>
        <v>753327.87</v>
      </c>
      <c r="D41" s="4">
        <f t="shared" si="3"/>
        <v>1588750.25</v>
      </c>
      <c r="E41" s="4"/>
      <c r="F41" s="4"/>
      <c r="G41" s="4">
        <f t="shared" si="1"/>
        <v>1171039</v>
      </c>
      <c r="H41" s="4"/>
      <c r="I41" s="4">
        <f t="shared" si="4"/>
        <v>1171039.31</v>
      </c>
      <c r="J41" s="4">
        <f t="shared" si="4"/>
        <v>0</v>
      </c>
      <c r="K41" s="4">
        <f t="shared" si="4"/>
        <v>-0.25</v>
      </c>
      <c r="L41" s="4"/>
      <c r="M41" s="14">
        <v>753328.03</v>
      </c>
      <c r="N41" s="14">
        <v>0</v>
      </c>
      <c r="O41" s="14">
        <v>-0.16</v>
      </c>
      <c r="P41" s="4"/>
      <c r="Q41" s="14">
        <v>1588750.59</v>
      </c>
      <c r="R41" s="14">
        <v>0</v>
      </c>
      <c r="S41" s="14">
        <f>-0.16-0.18</f>
        <v>-0.33999999999999997</v>
      </c>
      <c r="T41" s="4"/>
    </row>
    <row r="42" spans="1:20" ht="12.75">
      <c r="A42" s="38">
        <f t="shared" si="0"/>
        <v>28</v>
      </c>
      <c r="B42" s="11" t="s">
        <v>498</v>
      </c>
      <c r="C42" s="4">
        <f>SUM(M42:O42)</f>
        <v>81550</v>
      </c>
      <c r="D42" s="4">
        <f>SUM(Q42:S42)</f>
        <v>81550</v>
      </c>
      <c r="E42" s="4"/>
      <c r="F42" s="4"/>
      <c r="G42" s="4">
        <f>ROUND(SUM(C42:F42)/2,0)</f>
        <v>81550</v>
      </c>
      <c r="H42" s="4"/>
      <c r="I42" s="4">
        <f t="shared" si="4"/>
        <v>81550</v>
      </c>
      <c r="J42" s="4">
        <f t="shared" si="4"/>
        <v>0</v>
      </c>
      <c r="K42" s="4">
        <f t="shared" si="4"/>
        <v>0</v>
      </c>
      <c r="L42" s="4"/>
      <c r="M42" s="14">
        <v>81550</v>
      </c>
      <c r="N42" s="14">
        <v>0</v>
      </c>
      <c r="O42" s="14">
        <v>0</v>
      </c>
      <c r="P42" s="4"/>
      <c r="Q42" s="14">
        <v>81550</v>
      </c>
      <c r="R42" s="14">
        <v>0</v>
      </c>
      <c r="S42" s="14">
        <v>0</v>
      </c>
      <c r="T42" s="4"/>
    </row>
    <row r="43" spans="1:20" ht="12.75">
      <c r="A43" s="38">
        <f t="shared" si="0"/>
        <v>29</v>
      </c>
      <c r="B43" s="11" t="s">
        <v>499</v>
      </c>
      <c r="C43" s="4">
        <f>SUM(M43:O43)</f>
        <v>163100</v>
      </c>
      <c r="D43" s="4">
        <f>SUM(Q43:S43)</f>
        <v>244650</v>
      </c>
      <c r="E43" s="4"/>
      <c r="F43" s="4"/>
      <c r="G43" s="4">
        <f>ROUND(SUM(C43:F43)/2,0)</f>
        <v>203875</v>
      </c>
      <c r="H43" s="4"/>
      <c r="I43" s="4">
        <f t="shared" si="4"/>
        <v>203875</v>
      </c>
      <c r="J43" s="4">
        <f t="shared" si="4"/>
        <v>0</v>
      </c>
      <c r="K43" s="4">
        <f t="shared" si="4"/>
        <v>0</v>
      </c>
      <c r="L43" s="4"/>
      <c r="M43" s="14">
        <v>163100</v>
      </c>
      <c r="N43" s="14">
        <v>0</v>
      </c>
      <c r="O43" s="14">
        <v>0</v>
      </c>
      <c r="P43" s="4"/>
      <c r="Q43" s="14">
        <v>244650</v>
      </c>
      <c r="R43" s="14">
        <v>0</v>
      </c>
      <c r="S43" s="14">
        <v>0</v>
      </c>
      <c r="T43" s="4"/>
    </row>
    <row r="44" spans="1:20" ht="12.75">
      <c r="A44" s="38">
        <f t="shared" si="0"/>
        <v>30</v>
      </c>
      <c r="B44" s="4" t="s">
        <v>420</v>
      </c>
      <c r="C44" s="4">
        <f t="shared" si="2"/>
        <v>-7301.52</v>
      </c>
      <c r="D44" s="4">
        <f t="shared" si="3"/>
        <v>-7301.52</v>
      </c>
      <c r="E44" s="4"/>
      <c r="F44" s="4"/>
      <c r="G44" s="4">
        <f t="shared" si="1"/>
        <v>-7302</v>
      </c>
      <c r="H44" s="4"/>
      <c r="I44" s="4">
        <f t="shared" si="4"/>
        <v>-7301.52</v>
      </c>
      <c r="J44" s="4">
        <f t="shared" si="4"/>
        <v>0</v>
      </c>
      <c r="K44" s="4">
        <f t="shared" si="4"/>
        <v>0</v>
      </c>
      <c r="L44" s="4"/>
      <c r="M44" s="14">
        <v>-7301.52</v>
      </c>
      <c r="N44" s="14">
        <v>0</v>
      </c>
      <c r="O44" s="14">
        <v>0</v>
      </c>
      <c r="P44" s="4"/>
      <c r="Q44" s="14">
        <f>-5192.52-2109</f>
        <v>-7301.52</v>
      </c>
      <c r="R44" s="14">
        <v>0</v>
      </c>
      <c r="S44" s="14">
        <v>0</v>
      </c>
      <c r="T44" s="4"/>
    </row>
    <row r="45" spans="1:20" ht="12.75">
      <c r="A45" s="38">
        <f t="shared" si="0"/>
        <v>31</v>
      </c>
      <c r="B45" s="11" t="s">
        <v>214</v>
      </c>
      <c r="C45" s="4">
        <f t="shared" si="2"/>
        <v>-11658.649999999994</v>
      </c>
      <c r="D45" s="4">
        <f t="shared" si="3"/>
        <v>-11658.649999999994</v>
      </c>
      <c r="E45" s="4"/>
      <c r="F45" s="4"/>
      <c r="G45" s="4">
        <f t="shared" si="1"/>
        <v>-11659</v>
      </c>
      <c r="H45" s="4"/>
      <c r="I45" s="4">
        <f t="shared" si="4"/>
        <v>-11095.75</v>
      </c>
      <c r="J45" s="4">
        <f t="shared" si="4"/>
        <v>-405</v>
      </c>
      <c r="K45" s="4">
        <f t="shared" si="4"/>
        <v>-157.89999999999418</v>
      </c>
      <c r="L45" s="4"/>
      <c r="M45" s="14">
        <v>-11095.75</v>
      </c>
      <c r="N45" s="14">
        <v>-405</v>
      </c>
      <c r="O45" s="14">
        <v>-157.89999999999418</v>
      </c>
      <c r="P45" s="4"/>
      <c r="Q45" s="14">
        <f>-127142.75+116047</f>
        <v>-11095.75</v>
      </c>
      <c r="R45" s="14">
        <f>-77707+77302</f>
        <v>-405</v>
      </c>
      <c r="S45" s="14">
        <f>-116204.9+116047</f>
        <v>-157.89999999999418</v>
      </c>
      <c r="T45" s="4"/>
    </row>
    <row r="46" spans="1:20" ht="12.75">
      <c r="A46" s="38">
        <f t="shared" si="0"/>
        <v>32</v>
      </c>
      <c r="B46" s="11" t="s">
        <v>215</v>
      </c>
      <c r="C46" s="4">
        <f t="shared" si="2"/>
        <v>0</v>
      </c>
      <c r="D46" s="4">
        <f t="shared" si="3"/>
        <v>-0.3499999999985448</v>
      </c>
      <c r="E46" s="4"/>
      <c r="F46" s="4"/>
      <c r="G46" s="4">
        <f t="shared" si="1"/>
        <v>0</v>
      </c>
      <c r="H46" s="4"/>
      <c r="I46" s="4">
        <f t="shared" si="4"/>
        <v>-0.024999999999636202</v>
      </c>
      <c r="J46" s="4">
        <f t="shared" si="4"/>
        <v>-0.125</v>
      </c>
      <c r="K46" s="4">
        <f t="shared" si="4"/>
        <v>-0.024999999999636202</v>
      </c>
      <c r="L46" s="4"/>
      <c r="M46" s="14">
        <v>0</v>
      </c>
      <c r="N46" s="14">
        <v>0</v>
      </c>
      <c r="O46" s="14">
        <v>0</v>
      </c>
      <c r="P46" s="4"/>
      <c r="Q46" s="14">
        <f>26766.95-26767</f>
        <v>-0.049999999999272404</v>
      </c>
      <c r="R46" s="14">
        <f>17844.75-17845</f>
        <v>-0.25</v>
      </c>
      <c r="S46" s="14">
        <f>26766.95-26767</f>
        <v>-0.049999999999272404</v>
      </c>
      <c r="T46" s="4"/>
    </row>
    <row r="47" spans="1:20" ht="12.75">
      <c r="A47" s="38">
        <f t="shared" si="0"/>
        <v>33</v>
      </c>
      <c r="B47" s="11" t="s">
        <v>216</v>
      </c>
      <c r="C47" s="4">
        <f t="shared" si="2"/>
        <v>-1005587.4500000001</v>
      </c>
      <c r="D47" s="4">
        <f t="shared" si="3"/>
        <v>-1005587.4500000001</v>
      </c>
      <c r="E47" s="4"/>
      <c r="F47" s="4"/>
      <c r="G47" s="4">
        <f t="shared" si="1"/>
        <v>-1005587</v>
      </c>
      <c r="H47" s="4"/>
      <c r="I47" s="4">
        <f t="shared" si="4"/>
        <v>-1144292.85</v>
      </c>
      <c r="J47" s="4">
        <f t="shared" si="4"/>
        <v>490295.5</v>
      </c>
      <c r="K47" s="4">
        <f t="shared" si="4"/>
        <v>-351590.1</v>
      </c>
      <c r="L47" s="4"/>
      <c r="M47" s="14">
        <v>-1144292.85</v>
      </c>
      <c r="N47" s="14">
        <v>490295.5</v>
      </c>
      <c r="O47" s="14">
        <v>-351590.1</v>
      </c>
      <c r="P47" s="4"/>
      <c r="Q47" s="14">
        <v>-1144292.85</v>
      </c>
      <c r="R47" s="14">
        <v>490295.5</v>
      </c>
      <c r="S47" s="14">
        <v>-351590.1</v>
      </c>
      <c r="T47" s="4"/>
    </row>
    <row r="48" spans="1:20" ht="12.75">
      <c r="A48" s="38">
        <f t="shared" si="0"/>
        <v>34</v>
      </c>
      <c r="B48" s="11" t="s">
        <v>219</v>
      </c>
      <c r="C48" s="4">
        <f>SUM(M48:O48)</f>
        <v>127206</v>
      </c>
      <c r="D48" s="4">
        <f>SUM(Q48:S48)</f>
        <v>127206</v>
      </c>
      <c r="E48" s="4"/>
      <c r="F48" s="4"/>
      <c r="G48" s="4">
        <f>ROUND(SUM(C48:F48)/2,0)</f>
        <v>127206</v>
      </c>
      <c r="H48" s="4"/>
      <c r="I48" s="4">
        <f t="shared" si="4"/>
        <v>127206</v>
      </c>
      <c r="J48" s="4">
        <f t="shared" si="4"/>
        <v>0</v>
      </c>
      <c r="K48" s="4">
        <f t="shared" si="4"/>
        <v>0</v>
      </c>
      <c r="L48" s="4"/>
      <c r="M48" s="14">
        <v>127206</v>
      </c>
      <c r="N48" s="14">
        <v>0</v>
      </c>
      <c r="O48" s="14">
        <v>0</v>
      </c>
      <c r="P48" s="4"/>
      <c r="Q48" s="14">
        <v>127206</v>
      </c>
      <c r="R48" s="14">
        <v>0</v>
      </c>
      <c r="S48" s="14">
        <v>0</v>
      </c>
      <c r="T48" s="4"/>
    </row>
    <row r="49" spans="1:20" ht="12.75">
      <c r="A49" s="38">
        <f t="shared" si="0"/>
        <v>35</v>
      </c>
      <c r="B49" s="11" t="s">
        <v>221</v>
      </c>
      <c r="C49" s="4">
        <f t="shared" si="2"/>
        <v>582739.45</v>
      </c>
      <c r="D49" s="4">
        <f t="shared" si="3"/>
        <v>582739.45</v>
      </c>
      <c r="E49" s="4"/>
      <c r="F49" s="4"/>
      <c r="G49" s="4">
        <f t="shared" si="1"/>
        <v>582739</v>
      </c>
      <c r="H49" s="4"/>
      <c r="I49" s="4">
        <f t="shared" si="4"/>
        <v>582739.45</v>
      </c>
      <c r="J49" s="4">
        <f t="shared" si="4"/>
        <v>0</v>
      </c>
      <c r="K49" s="4">
        <f t="shared" si="4"/>
        <v>0</v>
      </c>
      <c r="L49" s="4"/>
      <c r="M49" s="14">
        <v>582739.45</v>
      </c>
      <c r="N49" s="14">
        <v>0</v>
      </c>
      <c r="O49" s="14">
        <v>0</v>
      </c>
      <c r="P49" s="4"/>
      <c r="Q49" s="14">
        <v>582739.45</v>
      </c>
      <c r="R49" s="14">
        <v>0</v>
      </c>
      <c r="S49" s="14">
        <v>0</v>
      </c>
      <c r="T49" s="4"/>
    </row>
    <row r="50" spans="1:20" ht="12.75">
      <c r="A50" s="38">
        <f t="shared" si="0"/>
        <v>36</v>
      </c>
      <c r="B50" s="11" t="s">
        <v>222</v>
      </c>
      <c r="C50" s="4">
        <f t="shared" si="2"/>
        <v>0.12</v>
      </c>
      <c r="D50" s="4">
        <f t="shared" si="3"/>
        <v>57790.11</v>
      </c>
      <c r="E50" s="4"/>
      <c r="F50" s="4"/>
      <c r="G50" s="4">
        <f t="shared" si="1"/>
        <v>28895</v>
      </c>
      <c r="H50" s="4"/>
      <c r="I50" s="4">
        <f t="shared" si="4"/>
        <v>28895.115</v>
      </c>
      <c r="J50" s="4">
        <f t="shared" si="4"/>
        <v>0</v>
      </c>
      <c r="K50" s="4">
        <f t="shared" si="4"/>
        <v>0</v>
      </c>
      <c r="L50" s="4"/>
      <c r="M50" s="14">
        <v>0.12</v>
      </c>
      <c r="N50" s="14">
        <v>0</v>
      </c>
      <c r="O50" s="14">
        <v>0</v>
      </c>
      <c r="P50" s="4"/>
      <c r="Q50" s="14">
        <v>57790.11</v>
      </c>
      <c r="R50" s="14">
        <v>0</v>
      </c>
      <c r="S50" s="14">
        <v>0</v>
      </c>
      <c r="T50" s="4"/>
    </row>
    <row r="51" spans="1:20" ht="12.75">
      <c r="A51" s="38">
        <f t="shared" si="0"/>
        <v>37</v>
      </c>
      <c r="B51" s="11" t="s">
        <v>80</v>
      </c>
      <c r="C51" s="4">
        <f t="shared" si="2"/>
        <v>-5358057.61</v>
      </c>
      <c r="D51" s="4">
        <f t="shared" si="3"/>
        <v>-5073327.7</v>
      </c>
      <c r="E51" s="4"/>
      <c r="F51" s="4"/>
      <c r="G51" s="4">
        <f t="shared" si="1"/>
        <v>-5215693</v>
      </c>
      <c r="H51" s="4"/>
      <c r="I51" s="4">
        <f t="shared" si="4"/>
        <v>0</v>
      </c>
      <c r="J51" s="4">
        <f t="shared" si="4"/>
        <v>0</v>
      </c>
      <c r="K51" s="4">
        <f t="shared" si="4"/>
        <v>-5215692.655</v>
      </c>
      <c r="L51" s="4"/>
      <c r="M51" s="14">
        <v>0</v>
      </c>
      <c r="N51" s="14">
        <v>0</v>
      </c>
      <c r="O51" s="14">
        <v>-5358057.61</v>
      </c>
      <c r="P51" s="4"/>
      <c r="Q51" s="14">
        <v>0</v>
      </c>
      <c r="R51" s="14">
        <v>0</v>
      </c>
      <c r="S51" s="14">
        <v>-5073327.7</v>
      </c>
      <c r="T51" s="4"/>
    </row>
    <row r="52" spans="1:20" ht="12.75">
      <c r="A52" s="38">
        <f t="shared" si="0"/>
        <v>38</v>
      </c>
      <c r="B52" s="11" t="s">
        <v>231</v>
      </c>
      <c r="C52" s="4">
        <f>SUM(M52:O52)</f>
        <v>111851</v>
      </c>
      <c r="D52" s="4">
        <f>SUM(Q52:S52)</f>
        <v>111851</v>
      </c>
      <c r="E52" s="4"/>
      <c r="F52" s="4"/>
      <c r="G52" s="4">
        <f>ROUND(SUM(C52:F52)/2,0)</f>
        <v>111851</v>
      </c>
      <c r="H52" s="4"/>
      <c r="I52" s="4">
        <f t="shared" si="4"/>
        <v>111851</v>
      </c>
      <c r="J52" s="4">
        <f t="shared" si="4"/>
        <v>0</v>
      </c>
      <c r="K52" s="4">
        <f t="shared" si="4"/>
        <v>0</v>
      </c>
      <c r="L52" s="4"/>
      <c r="M52" s="14">
        <v>111851</v>
      </c>
      <c r="N52" s="14">
        <v>0</v>
      </c>
      <c r="O52" s="14">
        <v>0</v>
      </c>
      <c r="P52" s="4"/>
      <c r="Q52" s="14">
        <v>111851</v>
      </c>
      <c r="R52" s="14">
        <v>0</v>
      </c>
      <c r="S52" s="14">
        <v>0</v>
      </c>
      <c r="T52" s="4"/>
    </row>
    <row r="53" spans="1:20" ht="12.75">
      <c r="A53" s="38">
        <f t="shared" si="0"/>
        <v>39</v>
      </c>
      <c r="B53" s="11" t="s">
        <v>232</v>
      </c>
      <c r="C53" s="4">
        <f>SUM(M53:O53)</f>
        <v>7752</v>
      </c>
      <c r="D53" s="4">
        <f>SUM(Q53:S53)</f>
        <v>7752</v>
      </c>
      <c r="E53" s="4"/>
      <c r="F53" s="4"/>
      <c r="G53" s="4">
        <f>ROUND(SUM(C53:F53)/2,0)</f>
        <v>7752</v>
      </c>
      <c r="H53" s="4"/>
      <c r="I53" s="4">
        <f t="shared" si="4"/>
        <v>7752</v>
      </c>
      <c r="J53" s="4">
        <f t="shared" si="4"/>
        <v>0</v>
      </c>
      <c r="K53" s="4">
        <f t="shared" si="4"/>
        <v>0</v>
      </c>
      <c r="L53" s="4"/>
      <c r="M53" s="14">
        <v>7752</v>
      </c>
      <c r="N53" s="14">
        <v>0</v>
      </c>
      <c r="O53" s="14">
        <v>0</v>
      </c>
      <c r="P53" s="4"/>
      <c r="Q53" s="14">
        <v>7752</v>
      </c>
      <c r="R53" s="14">
        <v>0</v>
      </c>
      <c r="S53" s="14">
        <v>0</v>
      </c>
      <c r="T53" s="4"/>
    </row>
    <row r="54" spans="1:20" ht="12.75">
      <c r="A54" s="38">
        <f t="shared" si="0"/>
        <v>40</v>
      </c>
      <c r="B54" s="11" t="s">
        <v>500</v>
      </c>
      <c r="C54" s="4">
        <f>SUM(M54:O54)</f>
        <v>151047.44</v>
      </c>
      <c r="D54" s="4">
        <f>SUM(Q54:S54)</f>
        <v>151047.44</v>
      </c>
      <c r="E54" s="4"/>
      <c r="F54" s="4"/>
      <c r="G54" s="4">
        <f>ROUND(SUM(C54:F54)/2,0)</f>
        <v>151047</v>
      </c>
      <c r="H54" s="4"/>
      <c r="I54" s="4">
        <f t="shared" si="4"/>
        <v>151047.44</v>
      </c>
      <c r="J54" s="4">
        <f t="shared" si="4"/>
        <v>0</v>
      </c>
      <c r="K54" s="4">
        <f t="shared" si="4"/>
        <v>0</v>
      </c>
      <c r="L54" s="4"/>
      <c r="M54" s="14">
        <v>151047.44</v>
      </c>
      <c r="N54" s="14">
        <v>0</v>
      </c>
      <c r="O54" s="14">
        <v>0</v>
      </c>
      <c r="P54" s="4"/>
      <c r="Q54" s="14">
        <v>151047.44</v>
      </c>
      <c r="R54" s="14">
        <v>0</v>
      </c>
      <c r="S54" s="14">
        <v>0</v>
      </c>
      <c r="T54" s="4"/>
    </row>
    <row r="55" spans="1:20" ht="12.75">
      <c r="A55" s="38">
        <f t="shared" si="0"/>
        <v>41</v>
      </c>
      <c r="B55" s="11" t="s">
        <v>501</v>
      </c>
      <c r="C55" s="4">
        <f>SUM(M55:O55)</f>
        <v>352444.08</v>
      </c>
      <c r="D55" s="4">
        <f>SUM(Q55:S55)</f>
        <v>503491.49</v>
      </c>
      <c r="E55" s="4"/>
      <c r="F55" s="4"/>
      <c r="G55" s="4">
        <f>ROUND(SUM(C55:F55)/2,0)</f>
        <v>427968</v>
      </c>
      <c r="H55" s="4"/>
      <c r="I55" s="4">
        <f t="shared" si="4"/>
        <v>427967.78500000003</v>
      </c>
      <c r="J55" s="4">
        <f t="shared" si="4"/>
        <v>0</v>
      </c>
      <c r="K55" s="4">
        <f t="shared" si="4"/>
        <v>0</v>
      </c>
      <c r="L55" s="4"/>
      <c r="M55" s="14">
        <v>352444.08</v>
      </c>
      <c r="N55" s="14">
        <v>0</v>
      </c>
      <c r="O55" s="14">
        <v>0</v>
      </c>
      <c r="P55" s="4"/>
      <c r="Q55" s="14">
        <v>503491.49</v>
      </c>
      <c r="R55" s="14">
        <v>0</v>
      </c>
      <c r="S55" s="14">
        <v>0</v>
      </c>
      <c r="T55" s="4"/>
    </row>
    <row r="56" spans="1:20" ht="12.75">
      <c r="A56" s="38">
        <f t="shared" si="0"/>
        <v>42</v>
      </c>
      <c r="B56" s="11" t="s">
        <v>233</v>
      </c>
      <c r="C56" s="4">
        <f>SUM(M56:O56)</f>
        <v>0</v>
      </c>
      <c r="D56" s="4">
        <f>SUM(Q56:S56)</f>
        <v>0</v>
      </c>
      <c r="E56" s="4"/>
      <c r="F56" s="4"/>
      <c r="G56" s="4">
        <f>ROUND(SUM(C56:F56)/2,0)</f>
        <v>0</v>
      </c>
      <c r="H56" s="4"/>
      <c r="I56" s="4">
        <f t="shared" si="4"/>
        <v>0</v>
      </c>
      <c r="J56" s="4">
        <f t="shared" si="4"/>
        <v>0</v>
      </c>
      <c r="K56" s="4">
        <f t="shared" si="4"/>
        <v>0</v>
      </c>
      <c r="L56" s="4"/>
      <c r="M56" s="14">
        <v>0</v>
      </c>
      <c r="N56" s="14">
        <v>0</v>
      </c>
      <c r="O56" s="14">
        <v>0</v>
      </c>
      <c r="P56" s="4"/>
      <c r="Q56" s="14">
        <v>0</v>
      </c>
      <c r="R56" s="14">
        <v>0</v>
      </c>
      <c r="S56" s="14">
        <v>0</v>
      </c>
      <c r="T56" s="4"/>
    </row>
    <row r="57" spans="1:20" ht="12.75">
      <c r="A57" s="38">
        <f t="shared" si="0"/>
        <v>43</v>
      </c>
      <c r="B57" s="11" t="s">
        <v>236</v>
      </c>
      <c r="C57" s="4">
        <f t="shared" si="2"/>
        <v>542375.03</v>
      </c>
      <c r="D57" s="4">
        <f t="shared" si="3"/>
        <v>1393200.28</v>
      </c>
      <c r="E57" s="4"/>
      <c r="F57" s="4"/>
      <c r="G57" s="4">
        <f t="shared" si="1"/>
        <v>967788</v>
      </c>
      <c r="H57" s="4"/>
      <c r="I57" s="4">
        <f t="shared" si="4"/>
        <v>967787.65</v>
      </c>
      <c r="J57" s="4">
        <f t="shared" si="4"/>
        <v>0.005</v>
      </c>
      <c r="K57" s="4">
        <f t="shared" si="4"/>
        <v>0</v>
      </c>
      <c r="L57" s="4"/>
      <c r="M57" s="14">
        <v>542375.03</v>
      </c>
      <c r="N57" s="14">
        <v>0</v>
      </c>
      <c r="O57" s="14">
        <v>0</v>
      </c>
      <c r="P57" s="4"/>
      <c r="Q57" s="14">
        <v>1393200.27</v>
      </c>
      <c r="R57" s="14">
        <v>0.01</v>
      </c>
      <c r="S57" s="14">
        <v>0</v>
      </c>
      <c r="T57" s="4"/>
    </row>
    <row r="58" spans="1:20" ht="12.75">
      <c r="A58" s="38">
        <f t="shared" si="0"/>
        <v>44</v>
      </c>
      <c r="B58" s="11" t="s">
        <v>225</v>
      </c>
      <c r="C58" s="4">
        <f t="shared" si="2"/>
        <v>26621.46</v>
      </c>
      <c r="D58" s="4">
        <f t="shared" si="3"/>
        <v>31365.99</v>
      </c>
      <c r="E58" s="4"/>
      <c r="F58" s="4"/>
      <c r="G58" s="4">
        <f t="shared" si="1"/>
        <v>28994</v>
      </c>
      <c r="H58" s="4"/>
      <c r="I58" s="4">
        <f t="shared" si="4"/>
        <v>0</v>
      </c>
      <c r="J58" s="4">
        <f t="shared" si="4"/>
        <v>28993.725</v>
      </c>
      <c r="K58" s="4">
        <f t="shared" si="4"/>
        <v>0</v>
      </c>
      <c r="L58" s="4"/>
      <c r="M58" s="14">
        <v>0</v>
      </c>
      <c r="N58" s="14">
        <v>26621.46</v>
      </c>
      <c r="O58" s="14">
        <v>0</v>
      </c>
      <c r="P58" s="4"/>
      <c r="Q58" s="14">
        <v>0</v>
      </c>
      <c r="R58" s="14">
        <v>31365.99</v>
      </c>
      <c r="S58" s="14">
        <v>0</v>
      </c>
      <c r="T58" s="4"/>
    </row>
    <row r="59" spans="1:20" ht="12.75">
      <c r="A59" s="38">
        <f t="shared" si="0"/>
        <v>45</v>
      </c>
      <c r="B59" s="4" t="s">
        <v>234</v>
      </c>
      <c r="C59" s="4">
        <f t="shared" si="2"/>
        <v>32122.93</v>
      </c>
      <c r="D59" s="4">
        <f t="shared" si="3"/>
        <v>31655.92</v>
      </c>
      <c r="E59" s="4"/>
      <c r="F59" s="4"/>
      <c r="G59" s="4">
        <f t="shared" si="1"/>
        <v>31889</v>
      </c>
      <c r="H59" s="4"/>
      <c r="I59" s="4">
        <f t="shared" si="4"/>
        <v>0</v>
      </c>
      <c r="J59" s="4">
        <f t="shared" si="4"/>
        <v>0</v>
      </c>
      <c r="K59" s="4">
        <f t="shared" si="4"/>
        <v>31889.425</v>
      </c>
      <c r="L59" s="4"/>
      <c r="M59" s="14">
        <v>0</v>
      </c>
      <c r="N59" s="14">
        <v>0</v>
      </c>
      <c r="O59" s="14">
        <v>32122.93</v>
      </c>
      <c r="P59" s="4"/>
      <c r="Q59" s="14">
        <v>0</v>
      </c>
      <c r="R59" s="14">
        <v>0</v>
      </c>
      <c r="S59" s="14">
        <v>31655.92</v>
      </c>
      <c r="T59" s="4"/>
    </row>
    <row r="60" spans="1:20" ht="12.75">
      <c r="A60" s="38">
        <f t="shared" si="0"/>
        <v>46</v>
      </c>
      <c r="B60" s="4" t="s">
        <v>502</v>
      </c>
      <c r="C60" s="4">
        <f>SUM(M60:O60)</f>
        <v>-0.24</v>
      </c>
      <c r="D60" s="4">
        <f>SUM(Q60:S60)</f>
        <v>305500.17</v>
      </c>
      <c r="E60" s="4"/>
      <c r="F60" s="4"/>
      <c r="G60" s="4">
        <f>ROUND(SUM(C60:F60)/2,0)</f>
        <v>152750</v>
      </c>
      <c r="H60" s="4"/>
      <c r="I60" s="4">
        <f t="shared" si="4"/>
        <v>152749.965</v>
      </c>
      <c r="J60" s="4">
        <f t="shared" si="4"/>
        <v>0</v>
      </c>
      <c r="K60" s="4">
        <f t="shared" si="4"/>
        <v>0</v>
      </c>
      <c r="L60" s="4"/>
      <c r="M60" s="14">
        <v>-0.24</v>
      </c>
      <c r="N60" s="14">
        <v>0</v>
      </c>
      <c r="O60" s="14">
        <v>0</v>
      </c>
      <c r="P60" s="4"/>
      <c r="Q60" s="14">
        <v>305500.17</v>
      </c>
      <c r="R60" s="14">
        <v>0</v>
      </c>
      <c r="S60" s="14">
        <v>0</v>
      </c>
      <c r="T60" s="4"/>
    </row>
    <row r="61" spans="1:20" ht="12.75">
      <c r="A61" s="38">
        <f t="shared" si="0"/>
        <v>47</v>
      </c>
      <c r="B61" s="4" t="s">
        <v>238</v>
      </c>
      <c r="C61" s="4">
        <f t="shared" si="2"/>
        <v>-28970.399999999998</v>
      </c>
      <c r="D61" s="4">
        <f t="shared" si="3"/>
        <v>-31027.7</v>
      </c>
      <c r="E61" s="4"/>
      <c r="F61" s="4"/>
      <c r="G61" s="4">
        <f t="shared" si="1"/>
        <v>-29999</v>
      </c>
      <c r="H61" s="4"/>
      <c r="I61" s="4">
        <f t="shared" si="4"/>
        <v>181.975</v>
      </c>
      <c r="J61" s="4">
        <f t="shared" si="4"/>
        <v>45</v>
      </c>
      <c r="K61" s="4">
        <f t="shared" si="4"/>
        <v>-30226.025</v>
      </c>
      <c r="L61" s="4"/>
      <c r="M61" s="14">
        <v>338.95</v>
      </c>
      <c r="N61" s="14">
        <v>52.7</v>
      </c>
      <c r="O61" s="14">
        <v>-29362.05</v>
      </c>
      <c r="P61" s="4"/>
      <c r="Q61" s="14">
        <v>25</v>
      </c>
      <c r="R61" s="14">
        <v>37.3</v>
      </c>
      <c r="S61" s="14">
        <v>-31090</v>
      </c>
      <c r="T61" s="4"/>
    </row>
    <row r="62" spans="1:20" ht="12.75">
      <c r="A62" s="38">
        <f t="shared" si="0"/>
        <v>48</v>
      </c>
      <c r="B62" s="4" t="s">
        <v>240</v>
      </c>
      <c r="C62" s="4">
        <f t="shared" si="2"/>
        <v>-2018168.4700000002</v>
      </c>
      <c r="D62" s="4">
        <f t="shared" si="3"/>
        <v>-987793.76</v>
      </c>
      <c r="E62" s="4"/>
      <c r="F62" s="4"/>
      <c r="G62" s="4">
        <f t="shared" si="1"/>
        <v>-1502981</v>
      </c>
      <c r="H62" s="4"/>
      <c r="I62" s="4">
        <f t="shared" si="4"/>
        <v>-422038.745</v>
      </c>
      <c r="J62" s="4">
        <f t="shared" si="4"/>
        <v>-123707.375</v>
      </c>
      <c r="K62" s="4">
        <f t="shared" si="4"/>
        <v>-957234.9950000001</v>
      </c>
      <c r="L62" s="4"/>
      <c r="M62" s="14">
        <v>-741381.17</v>
      </c>
      <c r="N62" s="14">
        <v>-153047.48</v>
      </c>
      <c r="O62" s="14">
        <v>-1123739.82</v>
      </c>
      <c r="P62" s="4"/>
      <c r="Q62" s="14">
        <v>-102696.32</v>
      </c>
      <c r="R62" s="14">
        <v>-94367.27</v>
      </c>
      <c r="S62" s="14">
        <v>-790730.17</v>
      </c>
      <c r="T62" s="4"/>
    </row>
    <row r="63" spans="1:20" ht="12.75">
      <c r="A63" s="38">
        <f t="shared" si="0"/>
        <v>49</v>
      </c>
      <c r="B63" s="11" t="s">
        <v>241</v>
      </c>
      <c r="C63" s="4">
        <f t="shared" si="2"/>
        <v>241912.70000000007</v>
      </c>
      <c r="D63" s="4">
        <f t="shared" si="3"/>
        <v>241912.70000000007</v>
      </c>
      <c r="E63" s="4"/>
      <c r="F63" s="4"/>
      <c r="G63" s="4">
        <f t="shared" si="1"/>
        <v>241913</v>
      </c>
      <c r="H63" s="4"/>
      <c r="I63" s="4">
        <f t="shared" si="4"/>
        <v>-896705.2</v>
      </c>
      <c r="J63" s="4">
        <f t="shared" si="4"/>
        <v>110629.75</v>
      </c>
      <c r="K63" s="4">
        <f t="shared" si="4"/>
        <v>1027988.15</v>
      </c>
      <c r="L63" s="4"/>
      <c r="M63" s="14">
        <v>-896705.2</v>
      </c>
      <c r="N63" s="14">
        <v>110629.75</v>
      </c>
      <c r="O63" s="14">
        <v>1027988.15</v>
      </c>
      <c r="P63" s="4"/>
      <c r="Q63" s="14">
        <v>-896705.2</v>
      </c>
      <c r="R63" s="14">
        <v>110629.75</v>
      </c>
      <c r="S63" s="14">
        <v>1027988.15</v>
      </c>
      <c r="T63" s="4"/>
    </row>
    <row r="64" spans="1:20" ht="12.75">
      <c r="A64" s="38">
        <f t="shared" si="0"/>
        <v>50</v>
      </c>
      <c r="B64" s="11" t="s">
        <v>242</v>
      </c>
      <c r="C64" s="4">
        <f t="shared" si="2"/>
        <v>-363973.3600000001</v>
      </c>
      <c r="D64" s="4">
        <f t="shared" si="3"/>
        <v>-3219295.01</v>
      </c>
      <c r="E64" s="4"/>
      <c r="F64" s="4"/>
      <c r="G64" s="4">
        <f t="shared" si="1"/>
        <v>-1791634</v>
      </c>
      <c r="H64" s="4"/>
      <c r="I64" s="4">
        <f t="shared" si="4"/>
        <v>-1338038.825</v>
      </c>
      <c r="J64" s="4">
        <f t="shared" si="4"/>
        <v>23536.385000000002</v>
      </c>
      <c r="K64" s="4">
        <f t="shared" si="4"/>
        <v>-477131.74500000005</v>
      </c>
      <c r="L64" s="4"/>
      <c r="M64" s="14">
        <v>-701725.4</v>
      </c>
      <c r="N64" s="14">
        <v>120792.7</v>
      </c>
      <c r="O64" s="14">
        <v>216959.34</v>
      </c>
      <c r="P64" s="4"/>
      <c r="Q64" s="14">
        <v>-1974352.25</v>
      </c>
      <c r="R64" s="14">
        <v>-73719.93</v>
      </c>
      <c r="S64" s="14">
        <v>-1171222.83</v>
      </c>
      <c r="T64" s="4"/>
    </row>
    <row r="65" spans="1:20" ht="12.75">
      <c r="A65" s="38">
        <f t="shared" si="0"/>
        <v>51</v>
      </c>
      <c r="B65" s="11" t="s">
        <v>243</v>
      </c>
      <c r="C65" s="4">
        <f t="shared" si="2"/>
        <v>2399614.46</v>
      </c>
      <c r="D65" s="4">
        <f t="shared" si="3"/>
        <v>2348238.62</v>
      </c>
      <c r="E65" s="4"/>
      <c r="F65" s="4"/>
      <c r="G65" s="4">
        <f t="shared" si="1"/>
        <v>2373927</v>
      </c>
      <c r="H65" s="4"/>
      <c r="I65" s="4">
        <f t="shared" si="4"/>
        <v>1537285.33</v>
      </c>
      <c r="J65" s="4">
        <f t="shared" si="4"/>
        <v>29006.425000000003</v>
      </c>
      <c r="K65" s="4">
        <f t="shared" si="4"/>
        <v>807634.785</v>
      </c>
      <c r="L65" s="4"/>
      <c r="M65" s="14">
        <v>1556112.95</v>
      </c>
      <c r="N65" s="14">
        <v>26694.08</v>
      </c>
      <c r="O65" s="14">
        <v>816807.43</v>
      </c>
      <c r="P65" s="4"/>
      <c r="Q65" s="14">
        <v>1518457.71</v>
      </c>
      <c r="R65" s="14">
        <v>31318.77</v>
      </c>
      <c r="S65" s="14">
        <v>798462.14</v>
      </c>
      <c r="T65" s="11"/>
    </row>
    <row r="66" spans="1:20" ht="12.75">
      <c r="A66" s="38">
        <f t="shared" si="0"/>
        <v>52</v>
      </c>
      <c r="B66" s="11" t="s">
        <v>244</v>
      </c>
      <c r="C66" s="4">
        <f t="shared" si="2"/>
        <v>25204320.26</v>
      </c>
      <c r="D66" s="4">
        <f t="shared" si="3"/>
        <v>22994742.33</v>
      </c>
      <c r="E66" s="4"/>
      <c r="F66" s="4"/>
      <c r="G66" s="4">
        <f t="shared" si="1"/>
        <v>24099531</v>
      </c>
      <c r="H66" s="4"/>
      <c r="I66" s="4">
        <f t="shared" si="4"/>
        <v>24076274.884999998</v>
      </c>
      <c r="J66" s="4">
        <f t="shared" si="4"/>
        <v>0</v>
      </c>
      <c r="K66" s="4">
        <f t="shared" si="4"/>
        <v>23256.41</v>
      </c>
      <c r="L66" s="4"/>
      <c r="M66" s="14">
        <v>25180397</v>
      </c>
      <c r="N66" s="14">
        <v>0</v>
      </c>
      <c r="O66" s="14">
        <v>23923.26</v>
      </c>
      <c r="P66" s="4"/>
      <c r="Q66" s="14">
        <v>22972152.77</v>
      </c>
      <c r="R66" s="14">
        <v>0</v>
      </c>
      <c r="S66" s="14">
        <v>22589.56</v>
      </c>
      <c r="T66" s="4"/>
    </row>
    <row r="67" spans="1:20" ht="12.75">
      <c r="A67" s="38">
        <f t="shared" si="0"/>
        <v>53</v>
      </c>
      <c r="B67" s="11" t="s">
        <v>246</v>
      </c>
      <c r="C67" s="4">
        <f>SUM(M67:O67)</f>
        <v>-580407</v>
      </c>
      <c r="D67" s="4">
        <f>SUM(Q67:S67)</f>
        <v>-580407</v>
      </c>
      <c r="E67" s="4"/>
      <c r="F67" s="4"/>
      <c r="G67" s="4">
        <f>ROUND(SUM(C67:F67)/2,0)</f>
        <v>-580407</v>
      </c>
      <c r="H67" s="4"/>
      <c r="I67" s="4">
        <f t="shared" si="4"/>
        <v>-580407</v>
      </c>
      <c r="J67" s="4">
        <f t="shared" si="4"/>
        <v>0</v>
      </c>
      <c r="K67" s="4">
        <f t="shared" si="4"/>
        <v>0</v>
      </c>
      <c r="L67" s="4"/>
      <c r="M67" s="14">
        <v>-580407</v>
      </c>
      <c r="N67" s="14">
        <v>0</v>
      </c>
      <c r="O67" s="14">
        <v>0</v>
      </c>
      <c r="P67" s="4"/>
      <c r="Q67" s="14">
        <v>-580407</v>
      </c>
      <c r="R67" s="14">
        <v>0</v>
      </c>
      <c r="S67" s="14">
        <v>0</v>
      </c>
      <c r="T67" s="4"/>
    </row>
    <row r="68" spans="1:20" ht="12.75">
      <c r="A68" s="38">
        <f t="shared" si="0"/>
        <v>54</v>
      </c>
      <c r="B68" s="11" t="s">
        <v>247</v>
      </c>
      <c r="C68" s="4">
        <f>SUM(M68:O68)</f>
        <v>24975.42</v>
      </c>
      <c r="D68" s="4">
        <f>SUM(Q68:S68)</f>
        <v>24975.42</v>
      </c>
      <c r="E68" s="4"/>
      <c r="F68" s="4"/>
      <c r="G68" s="4">
        <f>ROUND(SUM(C68:F68)/2,0)</f>
        <v>24975</v>
      </c>
      <c r="H68" s="4"/>
      <c r="I68" s="4">
        <f t="shared" si="4"/>
        <v>24975.42</v>
      </c>
      <c r="J68" s="4">
        <f t="shared" si="4"/>
        <v>0</v>
      </c>
      <c r="K68" s="4">
        <f t="shared" si="4"/>
        <v>0</v>
      </c>
      <c r="L68" s="4"/>
      <c r="M68" s="14">
        <v>24975.42</v>
      </c>
      <c r="N68" s="14">
        <v>0</v>
      </c>
      <c r="O68" s="14">
        <v>0</v>
      </c>
      <c r="P68" s="4"/>
      <c r="Q68" s="14">
        <v>24975.42</v>
      </c>
      <c r="R68" s="14">
        <v>0</v>
      </c>
      <c r="S68" s="14">
        <v>0</v>
      </c>
      <c r="T68" s="4"/>
    </row>
    <row r="69" spans="1:20" ht="12.75">
      <c r="A69" s="38">
        <f t="shared" si="0"/>
        <v>55</v>
      </c>
      <c r="B69" s="11" t="s">
        <v>503</v>
      </c>
      <c r="C69" s="4">
        <f t="shared" si="2"/>
        <v>0</v>
      </c>
      <c r="D69" s="4">
        <f t="shared" si="3"/>
        <v>0</v>
      </c>
      <c r="E69" s="4"/>
      <c r="F69" s="4"/>
      <c r="G69" s="4">
        <f t="shared" si="1"/>
        <v>0</v>
      </c>
      <c r="H69" s="4"/>
      <c r="I69" s="4">
        <f t="shared" si="4"/>
        <v>0</v>
      </c>
      <c r="J69" s="4">
        <f t="shared" si="4"/>
        <v>0</v>
      </c>
      <c r="K69" s="4">
        <f t="shared" si="4"/>
        <v>0</v>
      </c>
      <c r="L69" s="4"/>
      <c r="M69" s="14">
        <v>0</v>
      </c>
      <c r="N69" s="14">
        <v>0</v>
      </c>
      <c r="O69" s="14">
        <v>0</v>
      </c>
      <c r="P69" s="4"/>
      <c r="Q69" s="14">
        <v>0</v>
      </c>
      <c r="R69" s="14">
        <v>0</v>
      </c>
      <c r="S69" s="14">
        <v>0</v>
      </c>
      <c r="T69" s="4"/>
    </row>
    <row r="70" spans="1:20" ht="12.75">
      <c r="A70" s="38">
        <f t="shared" si="0"/>
        <v>56</v>
      </c>
      <c r="B70" s="11" t="s">
        <v>250</v>
      </c>
      <c r="C70" s="4">
        <f t="shared" si="2"/>
        <v>0</v>
      </c>
      <c r="D70" s="4">
        <f t="shared" si="3"/>
        <v>0</v>
      </c>
      <c r="E70" s="4"/>
      <c r="F70" s="4"/>
      <c r="G70" s="4">
        <f t="shared" si="1"/>
        <v>0</v>
      </c>
      <c r="H70" s="4"/>
      <c r="I70" s="4">
        <f t="shared" si="4"/>
        <v>0</v>
      </c>
      <c r="J70" s="4">
        <f t="shared" si="4"/>
        <v>0</v>
      </c>
      <c r="K70" s="4">
        <f t="shared" si="4"/>
        <v>0</v>
      </c>
      <c r="L70" s="4"/>
      <c r="M70" s="14">
        <v>0</v>
      </c>
      <c r="N70" s="14">
        <v>0</v>
      </c>
      <c r="O70" s="14">
        <v>0</v>
      </c>
      <c r="P70" s="4"/>
      <c r="Q70" s="14">
        <v>0</v>
      </c>
      <c r="R70" s="14">
        <v>0</v>
      </c>
      <c r="S70" s="14">
        <v>0</v>
      </c>
      <c r="T70" s="4"/>
    </row>
    <row r="71" spans="1:20" ht="12.75">
      <c r="A71" s="38">
        <f t="shared" si="0"/>
        <v>57</v>
      </c>
      <c r="B71" s="11" t="s">
        <v>504</v>
      </c>
      <c r="C71" s="4">
        <f t="shared" si="2"/>
        <v>0</v>
      </c>
      <c r="D71" s="4">
        <f t="shared" si="3"/>
        <v>0</v>
      </c>
      <c r="E71" s="4"/>
      <c r="F71" s="4"/>
      <c r="G71" s="4">
        <f t="shared" si="1"/>
        <v>0</v>
      </c>
      <c r="H71" s="4"/>
      <c r="I71" s="4">
        <f t="shared" si="4"/>
        <v>0</v>
      </c>
      <c r="J71" s="4">
        <f t="shared" si="4"/>
        <v>0</v>
      </c>
      <c r="K71" s="4">
        <f t="shared" si="4"/>
        <v>0</v>
      </c>
      <c r="L71" s="4"/>
      <c r="M71" s="14">
        <v>0</v>
      </c>
      <c r="N71" s="14">
        <v>0</v>
      </c>
      <c r="O71" s="14">
        <v>0</v>
      </c>
      <c r="P71" s="4"/>
      <c r="Q71" s="14">
        <v>0</v>
      </c>
      <c r="R71" s="14">
        <v>0</v>
      </c>
      <c r="S71" s="14">
        <v>0</v>
      </c>
      <c r="T71" s="4"/>
    </row>
    <row r="72" spans="1:20" ht="12.75">
      <c r="A72" s="38">
        <f t="shared" si="0"/>
        <v>58</v>
      </c>
      <c r="B72" s="11" t="s">
        <v>252</v>
      </c>
      <c r="C72" s="4">
        <f t="shared" si="2"/>
        <v>1.0799999999726424</v>
      </c>
      <c r="D72" s="4">
        <f t="shared" si="3"/>
        <v>1.0799999999726424</v>
      </c>
      <c r="E72" s="4"/>
      <c r="F72" s="4"/>
      <c r="G72" s="4">
        <f t="shared" si="1"/>
        <v>1</v>
      </c>
      <c r="H72" s="4"/>
      <c r="I72" s="4">
        <f t="shared" si="4"/>
        <v>0.6099999999860302</v>
      </c>
      <c r="J72" s="4">
        <f t="shared" si="4"/>
        <v>-0.13999999999941792</v>
      </c>
      <c r="K72" s="4">
        <f t="shared" si="4"/>
        <v>0.6099999999860302</v>
      </c>
      <c r="L72" s="4"/>
      <c r="M72" s="14">
        <v>0.6099999999860302</v>
      </c>
      <c r="N72" s="14">
        <v>-0.13999999999941792</v>
      </c>
      <c r="O72" s="14">
        <v>0.6099999999860302</v>
      </c>
      <c r="P72" s="4"/>
      <c r="Q72" s="14">
        <f>-154972.39+154973</f>
        <v>0.6099999999860302</v>
      </c>
      <c r="R72" s="14">
        <f>-103548.14+103548</f>
        <v>-0.13999999999941792</v>
      </c>
      <c r="S72" s="14">
        <f>-154972.39+154973</f>
        <v>0.6099999999860302</v>
      </c>
      <c r="T72" s="4"/>
    </row>
    <row r="73" spans="1:20" ht="12.75">
      <c r="A73" s="38">
        <f t="shared" si="0"/>
        <v>59</v>
      </c>
      <c r="B73" s="11" t="s">
        <v>505</v>
      </c>
      <c r="C73" s="4">
        <f t="shared" si="2"/>
        <v>0</v>
      </c>
      <c r="D73" s="4">
        <f t="shared" si="3"/>
        <v>0</v>
      </c>
      <c r="E73" s="4"/>
      <c r="F73" s="4"/>
      <c r="G73" s="4">
        <f t="shared" si="1"/>
        <v>0</v>
      </c>
      <c r="H73" s="4"/>
      <c r="I73" s="4">
        <f t="shared" si="4"/>
        <v>0</v>
      </c>
      <c r="J73" s="4">
        <f t="shared" si="4"/>
        <v>0</v>
      </c>
      <c r="K73" s="4">
        <f t="shared" si="4"/>
        <v>0</v>
      </c>
      <c r="L73" s="4"/>
      <c r="M73" s="14">
        <v>0</v>
      </c>
      <c r="N73" s="14">
        <v>0</v>
      </c>
      <c r="O73" s="14">
        <v>0</v>
      </c>
      <c r="P73" s="4"/>
      <c r="Q73" s="14">
        <v>0</v>
      </c>
      <c r="R73" s="14">
        <v>0</v>
      </c>
      <c r="S73" s="14">
        <v>0</v>
      </c>
      <c r="T73" s="4"/>
    </row>
    <row r="74" spans="1:20" ht="12.75">
      <c r="A74" s="38">
        <f t="shared" si="0"/>
        <v>60</v>
      </c>
      <c r="B74" s="11" t="s">
        <v>10</v>
      </c>
      <c r="C74" s="4">
        <f t="shared" si="2"/>
        <v>3234531.71</v>
      </c>
      <c r="D74" s="4">
        <f t="shared" si="3"/>
        <v>3672491.9499999997</v>
      </c>
      <c r="E74" s="4"/>
      <c r="F74" s="4"/>
      <c r="G74" s="4">
        <f t="shared" si="1"/>
        <v>3453512</v>
      </c>
      <c r="H74" s="4"/>
      <c r="I74" s="4">
        <f t="shared" si="4"/>
        <v>3453511.8049999997</v>
      </c>
      <c r="J74" s="4">
        <f t="shared" si="4"/>
        <v>0</v>
      </c>
      <c r="K74" s="4">
        <f t="shared" si="4"/>
        <v>0.025</v>
      </c>
      <c r="L74" s="4"/>
      <c r="M74" s="14">
        <v>3234531.71</v>
      </c>
      <c r="N74" s="14">
        <v>0</v>
      </c>
      <c r="O74" s="14">
        <v>0</v>
      </c>
      <c r="P74" s="4"/>
      <c r="Q74" s="14">
        <f>2019139.15+1653352.75</f>
        <v>3672491.9</v>
      </c>
      <c r="R74" s="14">
        <v>0</v>
      </c>
      <c r="S74" s="14">
        <v>0.05</v>
      </c>
      <c r="T74" s="4"/>
    </row>
    <row r="75" spans="1:20" ht="12.75">
      <c r="A75" s="38">
        <f t="shared" si="0"/>
        <v>61</v>
      </c>
      <c r="B75" s="11" t="s">
        <v>256</v>
      </c>
      <c r="C75" s="4">
        <f t="shared" si="2"/>
        <v>58024.75</v>
      </c>
      <c r="D75" s="4">
        <f t="shared" si="3"/>
        <v>58024.75</v>
      </c>
      <c r="E75" s="4"/>
      <c r="F75" s="4"/>
      <c r="G75" s="4">
        <f t="shared" si="1"/>
        <v>58025</v>
      </c>
      <c r="H75" s="4"/>
      <c r="I75" s="4">
        <f t="shared" si="4"/>
        <v>0</v>
      </c>
      <c r="J75" s="4">
        <f t="shared" si="4"/>
        <v>0</v>
      </c>
      <c r="K75" s="4">
        <f t="shared" si="4"/>
        <v>58024.75</v>
      </c>
      <c r="L75" s="4"/>
      <c r="M75" s="14">
        <v>0</v>
      </c>
      <c r="N75" s="14">
        <v>0</v>
      </c>
      <c r="O75" s="14">
        <v>58024.75</v>
      </c>
      <c r="P75" s="4"/>
      <c r="Q75" s="14">
        <v>0</v>
      </c>
      <c r="R75" s="14">
        <v>0</v>
      </c>
      <c r="S75" s="14">
        <v>58024.75</v>
      </c>
      <c r="T75" s="4"/>
    </row>
    <row r="76" spans="1:20" ht="12.75">
      <c r="A76" s="38">
        <f t="shared" si="0"/>
        <v>62</v>
      </c>
      <c r="B76" s="11" t="s">
        <v>259</v>
      </c>
      <c r="C76" s="4">
        <f t="shared" si="2"/>
        <v>114677.59</v>
      </c>
      <c r="D76" s="4">
        <f t="shared" si="3"/>
        <v>135066.49</v>
      </c>
      <c r="E76" s="4"/>
      <c r="F76" s="4"/>
      <c r="G76" s="4">
        <f t="shared" si="1"/>
        <v>124872</v>
      </c>
      <c r="H76" s="4"/>
      <c r="I76" s="4">
        <f t="shared" si="4"/>
        <v>195811.47</v>
      </c>
      <c r="J76" s="4">
        <f t="shared" si="4"/>
        <v>0</v>
      </c>
      <c r="K76" s="4">
        <f t="shared" si="4"/>
        <v>-70939.43</v>
      </c>
      <c r="L76" s="4"/>
      <c r="M76" s="14">
        <v>186453.87</v>
      </c>
      <c r="N76" s="14">
        <v>0</v>
      </c>
      <c r="O76" s="14">
        <v>-71776.28</v>
      </c>
      <c r="P76" s="4"/>
      <c r="Q76" s="14">
        <v>205169.07</v>
      </c>
      <c r="R76" s="14">
        <v>0</v>
      </c>
      <c r="S76" s="14">
        <v>-70102.58</v>
      </c>
      <c r="T76" s="4"/>
    </row>
    <row r="77" spans="1:20" ht="12.75">
      <c r="A77" s="38">
        <f t="shared" si="0"/>
        <v>63</v>
      </c>
      <c r="B77" s="11" t="s">
        <v>260</v>
      </c>
      <c r="C77" s="4">
        <f t="shared" si="2"/>
        <v>14108</v>
      </c>
      <c r="D77" s="4">
        <f t="shared" si="3"/>
        <v>14108</v>
      </c>
      <c r="E77" s="4"/>
      <c r="F77" s="4"/>
      <c r="G77" s="4">
        <f t="shared" si="1"/>
        <v>14108</v>
      </c>
      <c r="H77" s="4"/>
      <c r="I77" s="4">
        <f t="shared" si="4"/>
        <v>6043</v>
      </c>
      <c r="J77" s="4">
        <f t="shared" si="4"/>
        <v>8065</v>
      </c>
      <c r="K77" s="4">
        <f t="shared" si="4"/>
        <v>0</v>
      </c>
      <c r="L77" s="4"/>
      <c r="M77" s="14">
        <v>6043</v>
      </c>
      <c r="N77" s="14">
        <v>8065</v>
      </c>
      <c r="O77" s="14">
        <v>0</v>
      </c>
      <c r="P77" s="4"/>
      <c r="Q77" s="14">
        <v>6043</v>
      </c>
      <c r="R77" s="14">
        <v>8065</v>
      </c>
      <c r="S77" s="14">
        <v>0</v>
      </c>
      <c r="T77" s="4"/>
    </row>
    <row r="78" spans="1:20" ht="12.75">
      <c r="A78" s="38">
        <f t="shared" si="0"/>
        <v>64</v>
      </c>
      <c r="B78" s="4" t="s">
        <v>16</v>
      </c>
      <c r="C78" s="9">
        <v>274963.32</v>
      </c>
      <c r="D78" s="9">
        <v>679720.47</v>
      </c>
      <c r="E78" s="4">
        <f aca="true" t="shared" si="5" ref="E78:F85">-C78</f>
        <v>-274963.32</v>
      </c>
      <c r="F78" s="4">
        <f t="shared" si="5"/>
        <v>-679720.47</v>
      </c>
      <c r="G78" s="4">
        <f aca="true" t="shared" si="6" ref="G78:G85">ROUND(SUM(C78:F78)/2,0)</f>
        <v>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38">
        <f t="shared" si="0"/>
        <v>65</v>
      </c>
      <c r="B79" s="4" t="s">
        <v>262</v>
      </c>
      <c r="C79" s="9">
        <v>28450728.79</v>
      </c>
      <c r="D79" s="9">
        <v>25738125.68</v>
      </c>
      <c r="E79" s="4">
        <f t="shared" si="5"/>
        <v>-28450728.79</v>
      </c>
      <c r="F79" s="4">
        <f t="shared" si="5"/>
        <v>-25738125.68</v>
      </c>
      <c r="G79" s="4">
        <f t="shared" si="6"/>
        <v>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38">
        <f aca="true" t="shared" si="7" ref="A80:A88">A79+1</f>
        <v>66</v>
      </c>
      <c r="B80" s="4" t="s">
        <v>263</v>
      </c>
      <c r="C80" s="9">
        <v>242855.83</v>
      </c>
      <c r="D80" s="9">
        <v>293462.06</v>
      </c>
      <c r="E80" s="4">
        <f t="shared" si="5"/>
        <v>-242855.83</v>
      </c>
      <c r="F80" s="4">
        <f t="shared" si="5"/>
        <v>-293462.06</v>
      </c>
      <c r="G80" s="4">
        <f t="shared" si="6"/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38">
        <f t="shared" si="7"/>
        <v>67</v>
      </c>
      <c r="B81" s="4" t="s">
        <v>264</v>
      </c>
      <c r="C81" s="9">
        <v>0</v>
      </c>
      <c r="D81" s="9">
        <v>0</v>
      </c>
      <c r="E81" s="4">
        <f t="shared" si="5"/>
        <v>0</v>
      </c>
      <c r="F81" s="4">
        <f t="shared" si="5"/>
        <v>0</v>
      </c>
      <c r="G81" s="4">
        <f t="shared" si="6"/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38">
        <f t="shared" si="7"/>
        <v>68</v>
      </c>
      <c r="B82" s="11" t="s">
        <v>265</v>
      </c>
      <c r="C82" s="9">
        <v>0</v>
      </c>
      <c r="D82" s="9">
        <v>0</v>
      </c>
      <c r="E82" s="4">
        <f t="shared" si="5"/>
        <v>0</v>
      </c>
      <c r="F82" s="4">
        <f t="shared" si="5"/>
        <v>0</v>
      </c>
      <c r="G82" s="4">
        <f t="shared" si="6"/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38">
        <f t="shared" si="7"/>
        <v>69</v>
      </c>
      <c r="B83" s="11" t="s">
        <v>506</v>
      </c>
      <c r="C83" s="9">
        <v>1037848.35</v>
      </c>
      <c r="D83" s="9">
        <v>4434578.22</v>
      </c>
      <c r="E83" s="4">
        <f>-C83</f>
        <v>-1037848.35</v>
      </c>
      <c r="F83" s="4">
        <f>-D83</f>
        <v>-4434578.22</v>
      </c>
      <c r="G83" s="4">
        <f>ROUND(SUM(C83:F83)/2,0)</f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38">
        <f t="shared" si="7"/>
        <v>70</v>
      </c>
      <c r="B84" s="11" t="s">
        <v>507</v>
      </c>
      <c r="C84" s="9">
        <v>-206047.97</v>
      </c>
      <c r="D84" s="9">
        <v>-571397.04</v>
      </c>
      <c r="E84" s="4">
        <f>-C84</f>
        <v>206047.97</v>
      </c>
      <c r="F84" s="4">
        <f>-D84</f>
        <v>571397.04</v>
      </c>
      <c r="G84" s="4">
        <f>ROUND(SUM(C84:F84)/2,0)</f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38">
        <f t="shared" si="7"/>
        <v>71</v>
      </c>
      <c r="B85" s="11" t="s">
        <v>508</v>
      </c>
      <c r="C85" s="9">
        <v>54224.4</v>
      </c>
      <c r="D85" s="9">
        <v>86759.04</v>
      </c>
      <c r="E85" s="4">
        <f t="shared" si="5"/>
        <v>-54224.4</v>
      </c>
      <c r="F85" s="4">
        <f t="shared" si="5"/>
        <v>-86759.04</v>
      </c>
      <c r="G85" s="4">
        <f t="shared" si="6"/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7" s="28" customFormat="1" ht="12.75">
      <c r="A86" s="38">
        <f t="shared" si="7"/>
        <v>72</v>
      </c>
      <c r="B86" s="11" t="s">
        <v>272</v>
      </c>
      <c r="C86" s="4">
        <f>SUM(M86:O86)</f>
        <v>4844539.17</v>
      </c>
      <c r="D86" s="4">
        <f>SUM(Q86:S86)</f>
        <v>0</v>
      </c>
      <c r="E86" s="4"/>
      <c r="F86" s="4"/>
      <c r="G86" s="4">
        <f>ROUND(SUM(C86:F86)/2,0)</f>
        <v>2422270</v>
      </c>
      <c r="H86" s="4"/>
      <c r="I86" s="4">
        <f>(M86+Q86)/2</f>
        <v>0</v>
      </c>
      <c r="J86" s="4">
        <f>(N86+R86)/2</f>
        <v>0</v>
      </c>
      <c r="K86" s="4">
        <f>(O86+S86)/2</f>
        <v>2422269.585</v>
      </c>
      <c r="L86" s="4"/>
      <c r="M86" s="9">
        <v>0</v>
      </c>
      <c r="N86" s="9">
        <v>0</v>
      </c>
      <c r="O86" s="9">
        <v>4844539.17</v>
      </c>
      <c r="P86" s="4"/>
      <c r="Q86" s="9">
        <v>0</v>
      </c>
      <c r="R86" s="9">
        <v>0</v>
      </c>
      <c r="S86" s="9">
        <v>0</v>
      </c>
      <c r="T86" s="4"/>
      <c r="U86" s="4"/>
      <c r="V86" s="4"/>
      <c r="W86" s="4"/>
      <c r="X86" s="4"/>
      <c r="Y86" s="4"/>
      <c r="Z86" s="1"/>
      <c r="AA86" s="1"/>
    </row>
    <row r="87" spans="1:20" ht="12.75">
      <c r="A87" s="38">
        <f t="shared" si="7"/>
        <v>73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3.5" thickBot="1">
      <c r="A88" s="38">
        <f t="shared" si="7"/>
        <v>74</v>
      </c>
      <c r="B88" s="11" t="s">
        <v>273</v>
      </c>
      <c r="C88" s="60">
        <f>SUM(C17:C87)</f>
        <v>62994524.18000001</v>
      </c>
      <c r="D88" s="60">
        <f>SUM(D17:D87)</f>
        <v>80297443.56</v>
      </c>
      <c r="E88" s="60">
        <f>SUM(E17:E87)</f>
        <v>-29854572.72</v>
      </c>
      <c r="F88" s="60">
        <f>SUM(F17:F87)</f>
        <v>-30661248.429999996</v>
      </c>
      <c r="G88" s="60">
        <f>SUM(G17:G87)</f>
        <v>41388072</v>
      </c>
      <c r="H88" s="4"/>
      <c r="I88" s="60">
        <f>SUM(I17:I87)</f>
        <v>39477940.65</v>
      </c>
      <c r="J88" s="60">
        <f>SUM(J17:J87)</f>
        <v>3574442.809999999</v>
      </c>
      <c r="K88" s="60">
        <f>SUM(K17:K87)</f>
        <v>-1664310.1650000005</v>
      </c>
      <c r="L88" s="4"/>
      <c r="M88" s="60">
        <f>SUM(M17:M87)</f>
        <v>28310773.780000005</v>
      </c>
      <c r="N88" s="60">
        <f>SUM(N17:N87)</f>
        <v>3515266.3500000006</v>
      </c>
      <c r="O88" s="60">
        <f>SUM(O17:O87)</f>
        <v>1313911.3299999996</v>
      </c>
      <c r="P88" s="4"/>
      <c r="Q88" s="60">
        <f>SUM(Q17:Q87)</f>
        <v>50645107.519999996</v>
      </c>
      <c r="R88" s="60">
        <f>SUM(R17:R87)</f>
        <v>3633619.269999999</v>
      </c>
      <c r="S88" s="60">
        <f>SUM(S17:S87)</f>
        <v>-4642531.660000001</v>
      </c>
      <c r="T88" s="4"/>
    </row>
    <row r="89" ht="13.5" thickTop="1"/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176"/>
  <sheetViews>
    <sheetView showOutlineSymbols="0" zoomScalePageLayoutView="0" workbookViewId="0" topLeftCell="A1">
      <pane xSplit="2" ySplit="13" topLeftCell="C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B25" sqref="B25"/>
    </sheetView>
  </sheetViews>
  <sheetFormatPr defaultColWidth="12.7109375" defaultRowHeight="12.75"/>
  <cols>
    <col min="1" max="1" width="4.7109375" style="27" customWidth="1"/>
    <col min="2" max="2" width="54.7109375" style="28" customWidth="1"/>
    <col min="3" max="7" width="15.7109375" style="28" customWidth="1"/>
    <col min="8" max="8" width="2.7109375" style="28" customWidth="1"/>
    <col min="9" max="11" width="15.7109375" style="28" customWidth="1"/>
    <col min="12" max="12" width="2.7109375" style="28" customWidth="1"/>
    <col min="13" max="15" width="15.7109375" style="28" customWidth="1"/>
    <col min="16" max="16" width="2.7109375" style="1" customWidth="1"/>
    <col min="17" max="19" width="15.7109375" style="28" customWidth="1"/>
    <col min="20" max="16384" width="12.7109375" style="28" customWidth="1"/>
  </cols>
  <sheetData>
    <row r="1" spans="2:19" ht="12.75">
      <c r="B1" s="65" t="s">
        <v>509</v>
      </c>
      <c r="C1" s="66" t="s">
        <v>101</v>
      </c>
      <c r="F1" s="1"/>
      <c r="G1" s="29"/>
      <c r="H1" s="29"/>
      <c r="I1" s="29"/>
      <c r="J1" s="29"/>
      <c r="K1" s="29"/>
      <c r="L1" s="29"/>
      <c r="S1" s="29"/>
    </row>
    <row r="2" spans="2:19" ht="12.75">
      <c r="B2" s="65" t="s">
        <v>180</v>
      </c>
      <c r="G2" s="29"/>
      <c r="H2" s="29"/>
      <c r="I2" s="29"/>
      <c r="J2" s="29"/>
      <c r="K2" s="29"/>
      <c r="L2" s="29"/>
      <c r="S2" s="29"/>
    </row>
    <row r="3" ht="12.75">
      <c r="B3" s="65" t="s">
        <v>179</v>
      </c>
    </row>
    <row r="4" spans="7:12" ht="12.75">
      <c r="G4" s="67" t="s">
        <v>178</v>
      </c>
      <c r="H4" s="30"/>
      <c r="I4" s="30"/>
      <c r="J4" s="30"/>
      <c r="K4" s="30"/>
      <c r="L4" s="30"/>
    </row>
    <row r="5" ht="12.75">
      <c r="B5" s="66"/>
    </row>
    <row r="6" ht="12.75"/>
    <row r="7" ht="12.75"/>
    <row r="8" spans="2:19" ht="12.75">
      <c r="B8" s="31" t="s">
        <v>177</v>
      </c>
      <c r="C8" s="31" t="s">
        <v>176</v>
      </c>
      <c r="D8" s="31" t="s">
        <v>175</v>
      </c>
      <c r="E8" s="31" t="s">
        <v>174</v>
      </c>
      <c r="F8" s="31" t="s">
        <v>173</v>
      </c>
      <c r="G8" s="31" t="s">
        <v>172</v>
      </c>
      <c r="H8" s="31"/>
      <c r="I8" s="18" t="s">
        <v>171</v>
      </c>
      <c r="J8" s="18" t="s">
        <v>170</v>
      </c>
      <c r="K8" s="18" t="s">
        <v>169</v>
      </c>
      <c r="L8" s="31"/>
      <c r="M8" s="18" t="s">
        <v>168</v>
      </c>
      <c r="N8" s="18" t="s">
        <v>167</v>
      </c>
      <c r="O8" s="18" t="s">
        <v>166</v>
      </c>
      <c r="Q8" s="18" t="s">
        <v>165</v>
      </c>
      <c r="R8" s="18" t="s">
        <v>164</v>
      </c>
      <c r="S8" s="18" t="s">
        <v>163</v>
      </c>
    </row>
    <row r="9" ht="12.75"/>
    <row r="10" spans="3:19" ht="12.75">
      <c r="C10" s="32" t="s">
        <v>162</v>
      </c>
      <c r="D10" s="32"/>
      <c r="E10" s="33" t="s">
        <v>161</v>
      </c>
      <c r="F10" s="32"/>
      <c r="G10" s="34" t="s">
        <v>160</v>
      </c>
      <c r="H10" s="34"/>
      <c r="I10" s="35" t="s">
        <v>159</v>
      </c>
      <c r="J10" s="32"/>
      <c r="K10" s="32"/>
      <c r="L10" s="34"/>
      <c r="M10" s="35" t="s">
        <v>158</v>
      </c>
      <c r="N10" s="32"/>
      <c r="O10" s="32"/>
      <c r="Q10" s="35" t="s">
        <v>157</v>
      </c>
      <c r="R10" s="32"/>
      <c r="S10" s="32"/>
    </row>
    <row r="11" spans="3:19" ht="12.75">
      <c r="C11" s="37"/>
      <c r="D11" s="37"/>
      <c r="G11" s="34" t="s">
        <v>156</v>
      </c>
      <c r="H11" s="34"/>
      <c r="I11" s="37"/>
      <c r="J11" s="37"/>
      <c r="K11" s="37"/>
      <c r="L11" s="34"/>
      <c r="M11" s="37"/>
      <c r="N11" s="37"/>
      <c r="O11" s="37"/>
      <c r="Q11" s="37"/>
      <c r="R11" s="37"/>
      <c r="S11" s="37"/>
    </row>
    <row r="12" spans="3:12" ht="12.75">
      <c r="C12" s="34" t="s">
        <v>155</v>
      </c>
      <c r="D12" s="34" t="s">
        <v>155</v>
      </c>
      <c r="E12" s="34" t="s">
        <v>155</v>
      </c>
      <c r="F12" s="34" t="s">
        <v>155</v>
      </c>
      <c r="G12" s="34" t="s">
        <v>154</v>
      </c>
      <c r="H12" s="34"/>
      <c r="L12" s="34"/>
    </row>
    <row r="13" spans="2:19" ht="12.75">
      <c r="B13" s="31" t="s">
        <v>153</v>
      </c>
      <c r="C13" s="31" t="s">
        <v>152</v>
      </c>
      <c r="D13" s="31" t="s">
        <v>151</v>
      </c>
      <c r="E13" s="31" t="str">
        <f>C13</f>
        <v>OF 12-31-15</v>
      </c>
      <c r="F13" s="31" t="str">
        <f>D13</f>
        <v>OF 12-31-14</v>
      </c>
      <c r="G13" s="31" t="s">
        <v>150</v>
      </c>
      <c r="H13" s="31"/>
      <c r="I13" s="31" t="s">
        <v>149</v>
      </c>
      <c r="J13" s="31" t="s">
        <v>148</v>
      </c>
      <c r="K13" s="31" t="s">
        <v>147</v>
      </c>
      <c r="L13" s="31"/>
      <c r="M13" s="31" t="s">
        <v>149</v>
      </c>
      <c r="N13" s="31" t="s">
        <v>148</v>
      </c>
      <c r="O13" s="31" t="s">
        <v>147</v>
      </c>
      <c r="Q13" s="31" t="s">
        <v>149</v>
      </c>
      <c r="R13" s="31" t="s">
        <v>148</v>
      </c>
      <c r="S13" s="31" t="s">
        <v>147</v>
      </c>
    </row>
    <row r="14" spans="1:19" ht="12.75">
      <c r="A14" s="2"/>
      <c r="B14" s="1"/>
      <c r="C14" s="68" t="s">
        <v>101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Q14" s="1"/>
      <c r="R14" s="1"/>
      <c r="S14" s="1"/>
    </row>
    <row r="15" spans="1:19" ht="12.75">
      <c r="A15" s="5">
        <v>1</v>
      </c>
      <c r="B15" s="7" t="s">
        <v>146</v>
      </c>
      <c r="C15" s="4"/>
      <c r="D15" s="4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5">
        <f aca="true" t="shared" si="0" ref="A16:A79">A15+1</f>
        <v>2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0" ht="12.75">
      <c r="A17" s="5">
        <f t="shared" si="0"/>
        <v>3</v>
      </c>
      <c r="B17" s="69" t="s">
        <v>510</v>
      </c>
      <c r="C17" s="4">
        <f>SUM(M17:O17)</f>
        <v>0</v>
      </c>
      <c r="D17" s="4">
        <f>SUM(Q17:S17)</f>
        <v>0</v>
      </c>
      <c r="E17" s="4"/>
      <c r="F17" s="4"/>
      <c r="G17" s="4">
        <f>ROUND(SUM(C17:F17)/2,0)</f>
        <v>0</v>
      </c>
      <c r="H17" s="4"/>
      <c r="I17" s="4">
        <f aca="true" t="shared" si="1" ref="I17:K18">(M17+Q17)/2</f>
        <v>0</v>
      </c>
      <c r="J17" s="4">
        <f t="shared" si="1"/>
        <v>0</v>
      </c>
      <c r="K17" s="4">
        <f t="shared" si="1"/>
        <v>0</v>
      </c>
      <c r="L17" s="4"/>
      <c r="M17" s="9">
        <v>0</v>
      </c>
      <c r="N17" s="9">
        <v>0</v>
      </c>
      <c r="O17" s="9">
        <v>0</v>
      </c>
      <c r="P17" s="4"/>
      <c r="Q17" s="9">
        <v>0</v>
      </c>
      <c r="R17" s="9">
        <v>0</v>
      </c>
      <c r="S17" s="9">
        <v>0</v>
      </c>
      <c r="T17" s="70"/>
    </row>
    <row r="18" spans="1:19" ht="12.75">
      <c r="A18" s="5">
        <f t="shared" si="0"/>
        <v>4</v>
      </c>
      <c r="B18" s="38" t="s">
        <v>511</v>
      </c>
      <c r="C18" s="4">
        <f>SUM(M18:O18)</f>
        <v>0</v>
      </c>
      <c r="D18" s="4">
        <f>SUM(Q18:S18)</f>
        <v>0</v>
      </c>
      <c r="E18" s="4"/>
      <c r="F18" s="4"/>
      <c r="G18" s="4">
        <f>ROUND(SUM(C18:F18)/2,0)</f>
        <v>0</v>
      </c>
      <c r="H18" s="4"/>
      <c r="I18" s="4">
        <f t="shared" si="1"/>
        <v>0</v>
      </c>
      <c r="J18" s="4">
        <f t="shared" si="1"/>
        <v>0</v>
      </c>
      <c r="K18" s="4">
        <f t="shared" si="1"/>
        <v>0</v>
      </c>
      <c r="L18" s="4"/>
      <c r="M18" s="9">
        <v>0</v>
      </c>
      <c r="N18" s="9">
        <v>0</v>
      </c>
      <c r="O18" s="9">
        <v>0</v>
      </c>
      <c r="P18" s="4"/>
      <c r="Q18" s="9">
        <v>0</v>
      </c>
      <c r="R18" s="9">
        <v>0</v>
      </c>
      <c r="S18" s="9">
        <v>0</v>
      </c>
    </row>
    <row r="19" spans="1:19" ht="12.75">
      <c r="A19" s="5">
        <f t="shared" si="0"/>
        <v>5</v>
      </c>
      <c r="B19" s="38" t="s">
        <v>16</v>
      </c>
      <c r="C19" s="4">
        <v>0</v>
      </c>
      <c r="D19" s="4">
        <v>0</v>
      </c>
      <c r="E19" s="4">
        <f aca="true" t="shared" si="2" ref="E19:F21">-C19</f>
        <v>0</v>
      </c>
      <c r="F19" s="4">
        <f t="shared" si="2"/>
        <v>0</v>
      </c>
      <c r="G19" s="4">
        <f>ROUND(SUM(C19:F19)/2,0)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5">
        <f t="shared" si="0"/>
        <v>6</v>
      </c>
      <c r="B20" s="38" t="s">
        <v>144</v>
      </c>
      <c r="C20" s="4">
        <v>0</v>
      </c>
      <c r="D20" s="4">
        <v>0</v>
      </c>
      <c r="E20" s="4">
        <f t="shared" si="2"/>
        <v>0</v>
      </c>
      <c r="F20" s="4">
        <f t="shared" si="2"/>
        <v>0</v>
      </c>
      <c r="G20" s="4">
        <f>ROUND(SUM(C20:F20)/2,0)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28" ht="12.75">
      <c r="A21" s="5">
        <f t="shared" si="0"/>
        <v>7</v>
      </c>
      <c r="B21" s="38" t="s">
        <v>143</v>
      </c>
      <c r="C21" s="4">
        <v>0</v>
      </c>
      <c r="D21" s="4">
        <v>0</v>
      </c>
      <c r="E21" s="4">
        <f t="shared" si="2"/>
        <v>0</v>
      </c>
      <c r="F21" s="4">
        <f t="shared" si="2"/>
        <v>0</v>
      </c>
      <c r="G21" s="4">
        <f>ROUND(SUM(C21:F21)/2,0)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5">
        <f t="shared" si="0"/>
        <v>8</v>
      </c>
      <c r="B22" s="3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19" ht="13.5" thickBot="1">
      <c r="A23" s="5">
        <f t="shared" si="0"/>
        <v>9</v>
      </c>
      <c r="B23" s="7" t="s">
        <v>142</v>
      </c>
      <c r="C23" s="6">
        <f>SUM(C17:C22)</f>
        <v>0</v>
      </c>
      <c r="D23" s="6">
        <f>SUM(D17:D22)</f>
        <v>0</v>
      </c>
      <c r="E23" s="6">
        <f>SUM(E17:E22)</f>
        <v>0</v>
      </c>
      <c r="F23" s="6">
        <f>SUM(F17:F22)</f>
        <v>0</v>
      </c>
      <c r="G23" s="6">
        <f>SUM(G17:G22)</f>
        <v>0</v>
      </c>
      <c r="H23" s="4"/>
      <c r="I23" s="6">
        <f>SUM(I17:I22)</f>
        <v>0</v>
      </c>
      <c r="J23" s="6">
        <f>SUM(J17:J22)</f>
        <v>0</v>
      </c>
      <c r="K23" s="6">
        <f>SUM(K17:K22)</f>
        <v>0</v>
      </c>
      <c r="L23" s="4"/>
      <c r="M23" s="6">
        <f>SUM(M17:M22)</f>
        <v>0</v>
      </c>
      <c r="N23" s="6">
        <f>SUM(N17:N22)</f>
        <v>0</v>
      </c>
      <c r="O23" s="6">
        <f>SUM(O17:O22)</f>
        <v>0</v>
      </c>
      <c r="P23" s="4"/>
      <c r="Q23" s="6">
        <f>SUM(Q17:Q22)</f>
        <v>0</v>
      </c>
      <c r="R23" s="6">
        <f>SUM(R17:R22)</f>
        <v>0</v>
      </c>
      <c r="S23" s="6">
        <f>SUM(S17:S22)</f>
        <v>0</v>
      </c>
    </row>
    <row r="24" spans="1:19" ht="13.5" thickTop="1">
      <c r="A24" s="5">
        <f t="shared" si="0"/>
        <v>10</v>
      </c>
      <c r="B24" s="1"/>
      <c r="C24" s="3"/>
      <c r="D24" s="3"/>
      <c r="E24" s="3"/>
      <c r="F24" s="3"/>
      <c r="G24" s="3"/>
      <c r="H24" s="4"/>
      <c r="I24" s="3"/>
      <c r="J24" s="3"/>
      <c r="K24" s="3"/>
      <c r="L24" s="4"/>
      <c r="M24" s="3"/>
      <c r="N24" s="3"/>
      <c r="O24" s="3"/>
      <c r="P24" s="4"/>
      <c r="Q24" s="3"/>
      <c r="R24" s="3"/>
      <c r="S24" s="3"/>
    </row>
    <row r="25" spans="1:19" ht="12.75">
      <c r="A25" s="5">
        <f t="shared" si="0"/>
        <v>11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5">
        <f t="shared" si="0"/>
        <v>12</v>
      </c>
      <c r="B26" s="8" t="s">
        <v>141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71"/>
      <c r="N26" s="4"/>
      <c r="O26" s="71"/>
      <c r="P26" s="4"/>
      <c r="Q26" s="71"/>
      <c r="R26" s="71"/>
      <c r="S26" s="71"/>
    </row>
    <row r="27" spans="1:19" ht="12.75">
      <c r="A27" s="5">
        <f t="shared" si="0"/>
        <v>13</v>
      </c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5">
        <f t="shared" si="0"/>
        <v>14</v>
      </c>
      <c r="B28" s="38" t="s">
        <v>464</v>
      </c>
      <c r="C28" s="4">
        <f aca="true" t="shared" si="3" ref="C28:C57">SUM(M28:O28)</f>
        <v>-64.75</v>
      </c>
      <c r="D28" s="4">
        <f aca="true" t="shared" si="4" ref="D28:D57">SUM(Q28:S28)</f>
        <v>-64.75</v>
      </c>
      <c r="E28" s="4"/>
      <c r="F28" s="4"/>
      <c r="G28" s="4">
        <f aca="true" t="shared" si="5" ref="G28:G60">ROUND(SUM(C28:F28)/2,0)</f>
        <v>-65</v>
      </c>
      <c r="H28" s="4"/>
      <c r="I28" s="4">
        <f aca="true" t="shared" si="6" ref="I28:K57">(M28+Q28)/2</f>
        <v>0</v>
      </c>
      <c r="J28" s="4">
        <f t="shared" si="6"/>
        <v>-23.85</v>
      </c>
      <c r="K28" s="4">
        <f t="shared" si="6"/>
        <v>-40.9</v>
      </c>
      <c r="L28" s="4"/>
      <c r="M28" s="14">
        <v>0</v>
      </c>
      <c r="N28" s="14">
        <v>-23.85</v>
      </c>
      <c r="O28" s="14">
        <v>-40.9</v>
      </c>
      <c r="P28" s="4"/>
      <c r="Q28" s="14">
        <v>0</v>
      </c>
      <c r="R28" s="14">
        <v>-23.85</v>
      </c>
      <c r="S28" s="14">
        <v>-40.9</v>
      </c>
    </row>
    <row r="29" spans="1:19" ht="12.75">
      <c r="A29" s="5">
        <f t="shared" si="0"/>
        <v>15</v>
      </c>
      <c r="B29" s="38" t="s">
        <v>140</v>
      </c>
      <c r="C29" s="4">
        <f t="shared" si="3"/>
        <v>769403341.67</v>
      </c>
      <c r="D29" s="4">
        <f t="shared" si="4"/>
        <v>687745453.65</v>
      </c>
      <c r="E29" s="11" t="s">
        <v>101</v>
      </c>
      <c r="F29" s="4"/>
      <c r="G29" s="4">
        <f t="shared" si="5"/>
        <v>728574398</v>
      </c>
      <c r="H29" s="4"/>
      <c r="I29" s="4">
        <f t="shared" si="6"/>
        <v>0</v>
      </c>
      <c r="J29" s="4">
        <f t="shared" si="6"/>
        <v>255646904.07999998</v>
      </c>
      <c r="K29" s="4">
        <f t="shared" si="6"/>
        <v>472927493.5799999</v>
      </c>
      <c r="L29" s="4"/>
      <c r="M29" s="14">
        <v>0</v>
      </c>
      <c r="N29" s="14">
        <v>270602238.81</v>
      </c>
      <c r="O29" s="14">
        <v>498801102.85999995</v>
      </c>
      <c r="P29" s="4"/>
      <c r="Q29" s="14">
        <v>0</v>
      </c>
      <c r="R29" s="14">
        <v>240691569.35</v>
      </c>
      <c r="S29" s="14">
        <v>447053884.29999995</v>
      </c>
    </row>
    <row r="30" spans="1:19" ht="12.75">
      <c r="A30" s="5">
        <f t="shared" si="0"/>
        <v>16</v>
      </c>
      <c r="B30" s="7" t="s">
        <v>138</v>
      </c>
      <c r="C30" s="4">
        <f t="shared" si="3"/>
        <v>438138.7</v>
      </c>
      <c r="D30" s="4">
        <f t="shared" si="4"/>
        <v>603885.05</v>
      </c>
      <c r="E30" s="4"/>
      <c r="F30" s="4"/>
      <c r="G30" s="4">
        <f t="shared" si="5"/>
        <v>521012</v>
      </c>
      <c r="H30" s="4"/>
      <c r="I30" s="4">
        <f t="shared" si="6"/>
        <v>0</v>
      </c>
      <c r="J30" s="4">
        <f t="shared" si="6"/>
        <v>156014.075</v>
      </c>
      <c r="K30" s="4">
        <f t="shared" si="6"/>
        <v>364997.80000000005</v>
      </c>
      <c r="L30" s="4"/>
      <c r="M30" s="14">
        <v>0</v>
      </c>
      <c r="N30" s="14">
        <v>133389.55</v>
      </c>
      <c r="O30" s="14">
        <v>304749.15</v>
      </c>
      <c r="P30" s="4"/>
      <c r="Q30" s="14">
        <v>0</v>
      </c>
      <c r="R30" s="14">
        <v>178638.6</v>
      </c>
      <c r="S30" s="14">
        <v>425246.45</v>
      </c>
    </row>
    <row r="31" spans="1:19" ht="12.75">
      <c r="A31" s="5">
        <f t="shared" si="0"/>
        <v>17</v>
      </c>
      <c r="B31" s="7" t="s">
        <v>137</v>
      </c>
      <c r="C31" s="4">
        <f t="shared" si="3"/>
        <v>614188.02</v>
      </c>
      <c r="D31" s="4">
        <f t="shared" si="4"/>
        <v>794767.02</v>
      </c>
      <c r="E31" s="4"/>
      <c r="F31" s="4"/>
      <c r="G31" s="4">
        <f t="shared" si="5"/>
        <v>704478</v>
      </c>
      <c r="H31" s="4"/>
      <c r="I31" s="4">
        <f t="shared" si="6"/>
        <v>0</v>
      </c>
      <c r="J31" s="4">
        <f t="shared" si="6"/>
        <v>0</v>
      </c>
      <c r="K31" s="4">
        <f t="shared" si="6"/>
        <v>704477.52</v>
      </c>
      <c r="L31" s="4"/>
      <c r="M31" s="14">
        <v>0</v>
      </c>
      <c r="N31" s="14">
        <v>0</v>
      </c>
      <c r="O31" s="14">
        <v>614188.02</v>
      </c>
      <c r="P31" s="4"/>
      <c r="Q31" s="14">
        <v>0</v>
      </c>
      <c r="R31" s="14">
        <v>0</v>
      </c>
      <c r="S31" s="14">
        <v>794767.02</v>
      </c>
    </row>
    <row r="32" spans="1:19" ht="12.75">
      <c r="A32" s="5">
        <f t="shared" si="0"/>
        <v>18</v>
      </c>
      <c r="B32" s="7" t="s">
        <v>136</v>
      </c>
      <c r="C32" s="4">
        <f t="shared" si="3"/>
        <v>109771.36</v>
      </c>
      <c r="D32" s="4">
        <f t="shared" si="4"/>
        <v>177068.71</v>
      </c>
      <c r="E32" s="4"/>
      <c r="F32" s="4"/>
      <c r="G32" s="4">
        <f t="shared" si="5"/>
        <v>143420</v>
      </c>
      <c r="H32" s="4"/>
      <c r="I32" s="4">
        <f t="shared" si="6"/>
        <v>0</v>
      </c>
      <c r="J32" s="4">
        <f t="shared" si="6"/>
        <v>143420.035</v>
      </c>
      <c r="K32" s="4">
        <f t="shared" si="6"/>
        <v>0</v>
      </c>
      <c r="L32" s="4"/>
      <c r="M32" s="14">
        <v>0</v>
      </c>
      <c r="N32" s="14">
        <v>109771.36</v>
      </c>
      <c r="O32" s="14">
        <v>0</v>
      </c>
      <c r="P32" s="4"/>
      <c r="Q32" s="14">
        <v>0</v>
      </c>
      <c r="R32" s="14">
        <v>177068.71</v>
      </c>
      <c r="S32" s="14">
        <v>0</v>
      </c>
    </row>
    <row r="33" spans="1:19" ht="12.75">
      <c r="A33" s="5">
        <f t="shared" si="0"/>
        <v>19</v>
      </c>
      <c r="B33" s="7" t="s">
        <v>135</v>
      </c>
      <c r="C33" s="4">
        <f t="shared" si="3"/>
        <v>520858.8</v>
      </c>
      <c r="D33" s="4">
        <f t="shared" si="4"/>
        <v>511961.8</v>
      </c>
      <c r="E33" s="4"/>
      <c r="F33" s="4"/>
      <c r="G33" s="4">
        <f>ROUND(SUM(C33:F33)/2,0)</f>
        <v>516410</v>
      </c>
      <c r="H33" s="4"/>
      <c r="I33" s="4">
        <f t="shared" si="6"/>
        <v>0</v>
      </c>
      <c r="J33" s="4">
        <f t="shared" si="6"/>
        <v>47204.5</v>
      </c>
      <c r="K33" s="4">
        <f t="shared" si="6"/>
        <v>469205.8</v>
      </c>
      <c r="L33" s="4"/>
      <c r="M33" s="14">
        <v>0</v>
      </c>
      <c r="N33" s="14">
        <v>51653</v>
      </c>
      <c r="O33" s="14">
        <v>469205.8</v>
      </c>
      <c r="P33" s="4"/>
      <c r="Q33" s="14">
        <v>0</v>
      </c>
      <c r="R33" s="14">
        <v>42756</v>
      </c>
      <c r="S33" s="14">
        <v>469205.8</v>
      </c>
    </row>
    <row r="34" spans="1:19" ht="12.75">
      <c r="A34" s="5">
        <f t="shared" si="0"/>
        <v>20</v>
      </c>
      <c r="B34" s="7" t="s">
        <v>512</v>
      </c>
      <c r="C34" s="4">
        <f t="shared" si="3"/>
        <v>0</v>
      </c>
      <c r="D34" s="4">
        <f t="shared" si="4"/>
        <v>0</v>
      </c>
      <c r="E34" s="4"/>
      <c r="F34" s="4"/>
      <c r="G34" s="4">
        <f>ROUND(SUM(C34:F34)/2,0)</f>
        <v>0</v>
      </c>
      <c r="H34" s="4"/>
      <c r="I34" s="4">
        <f t="shared" si="6"/>
        <v>0</v>
      </c>
      <c r="J34" s="4">
        <f t="shared" si="6"/>
        <v>0</v>
      </c>
      <c r="K34" s="4">
        <f t="shared" si="6"/>
        <v>0</v>
      </c>
      <c r="L34" s="4"/>
      <c r="M34" s="14">
        <v>0</v>
      </c>
      <c r="N34" s="14">
        <v>0</v>
      </c>
      <c r="O34" s="14">
        <v>0</v>
      </c>
      <c r="P34" s="4"/>
      <c r="Q34" s="14">
        <v>0</v>
      </c>
      <c r="R34" s="14">
        <v>0</v>
      </c>
      <c r="S34" s="14">
        <v>0</v>
      </c>
    </row>
    <row r="35" spans="1:19" ht="12.75">
      <c r="A35" s="5">
        <f t="shared" si="0"/>
        <v>21</v>
      </c>
      <c r="B35" s="38" t="s">
        <v>134</v>
      </c>
      <c r="C35" s="4">
        <f t="shared" si="3"/>
        <v>580593.5</v>
      </c>
      <c r="D35" s="4">
        <f t="shared" si="4"/>
        <v>546037</v>
      </c>
      <c r="E35" s="4"/>
      <c r="F35" s="4"/>
      <c r="G35" s="4">
        <f t="shared" si="5"/>
        <v>563315</v>
      </c>
      <c r="H35" s="4"/>
      <c r="I35" s="4">
        <f t="shared" si="6"/>
        <v>0</v>
      </c>
      <c r="J35" s="4">
        <f t="shared" si="6"/>
        <v>9966.75</v>
      </c>
      <c r="K35" s="4">
        <f t="shared" si="6"/>
        <v>553348.5</v>
      </c>
      <c r="L35" s="4"/>
      <c r="M35" s="14">
        <v>0</v>
      </c>
      <c r="N35" s="14">
        <v>10301.46</v>
      </c>
      <c r="O35" s="14">
        <v>570292.04</v>
      </c>
      <c r="P35" s="4"/>
      <c r="Q35" s="14">
        <v>0</v>
      </c>
      <c r="R35" s="14">
        <v>9632.04</v>
      </c>
      <c r="S35" s="14">
        <v>536404.96</v>
      </c>
    </row>
    <row r="36" spans="1:19" ht="12.75">
      <c r="A36" s="5">
        <f t="shared" si="0"/>
        <v>22</v>
      </c>
      <c r="B36" s="38" t="s">
        <v>513</v>
      </c>
      <c r="C36" s="4">
        <f t="shared" si="3"/>
        <v>0</v>
      </c>
      <c r="D36" s="4">
        <f t="shared" si="4"/>
        <v>0</v>
      </c>
      <c r="E36" s="4"/>
      <c r="F36" s="4"/>
      <c r="G36" s="4">
        <f t="shared" si="5"/>
        <v>0</v>
      </c>
      <c r="H36" s="4"/>
      <c r="I36" s="4">
        <f t="shared" si="6"/>
        <v>0</v>
      </c>
      <c r="J36" s="4">
        <f t="shared" si="6"/>
        <v>0</v>
      </c>
      <c r="K36" s="4">
        <f t="shared" si="6"/>
        <v>0</v>
      </c>
      <c r="L36" s="4"/>
      <c r="M36" s="14">
        <v>0</v>
      </c>
      <c r="N36" s="14">
        <v>0</v>
      </c>
      <c r="O36" s="14">
        <v>0</v>
      </c>
      <c r="P36" s="4"/>
      <c r="Q36" s="14">
        <v>0</v>
      </c>
      <c r="R36" s="14">
        <v>0</v>
      </c>
      <c r="S36" s="14">
        <v>0</v>
      </c>
    </row>
    <row r="37" spans="1:19" ht="12.75">
      <c r="A37" s="5">
        <f t="shared" si="0"/>
        <v>23</v>
      </c>
      <c r="B37" s="69" t="s">
        <v>131</v>
      </c>
      <c r="C37" s="4">
        <f t="shared" si="3"/>
        <v>58965405.54000001</v>
      </c>
      <c r="D37" s="4">
        <f t="shared" si="4"/>
        <v>53152292.489999995</v>
      </c>
      <c r="E37" s="4"/>
      <c r="F37" s="4"/>
      <c r="G37" s="4">
        <f t="shared" si="5"/>
        <v>56058849</v>
      </c>
      <c r="H37" s="4"/>
      <c r="I37" s="4">
        <f t="shared" si="6"/>
        <v>0</v>
      </c>
      <c r="J37" s="4">
        <f t="shared" si="6"/>
        <v>9905954.45</v>
      </c>
      <c r="K37" s="4">
        <f t="shared" si="6"/>
        <v>46152894.565</v>
      </c>
      <c r="L37" s="4"/>
      <c r="M37" s="14">
        <v>0</v>
      </c>
      <c r="N37" s="14">
        <v>10008405.95</v>
      </c>
      <c r="O37" s="14">
        <v>48956999.59</v>
      </c>
      <c r="P37" s="4"/>
      <c r="Q37" s="14">
        <v>0</v>
      </c>
      <c r="R37" s="14">
        <v>9803502.95</v>
      </c>
      <c r="S37" s="14">
        <v>43348789.54</v>
      </c>
    </row>
    <row r="38" spans="1:19" ht="12.75">
      <c r="A38" s="5">
        <f t="shared" si="0"/>
        <v>24</v>
      </c>
      <c r="B38" s="69" t="s">
        <v>514</v>
      </c>
      <c r="C38" s="4">
        <f t="shared" si="3"/>
        <v>0</v>
      </c>
      <c r="D38" s="4">
        <f t="shared" si="4"/>
        <v>0</v>
      </c>
      <c r="E38" s="4"/>
      <c r="F38" s="4"/>
      <c r="G38" s="4">
        <f>ROUND(SUM(C38:F38)/2,0)</f>
        <v>0</v>
      </c>
      <c r="H38" s="4"/>
      <c r="I38" s="4">
        <f t="shared" si="6"/>
        <v>0</v>
      </c>
      <c r="J38" s="4">
        <f t="shared" si="6"/>
        <v>0</v>
      </c>
      <c r="K38" s="4">
        <f t="shared" si="6"/>
        <v>0</v>
      </c>
      <c r="L38" s="4"/>
      <c r="M38" s="14">
        <v>0</v>
      </c>
      <c r="N38" s="14">
        <v>0</v>
      </c>
      <c r="O38" s="14">
        <v>0</v>
      </c>
      <c r="P38" s="4"/>
      <c r="Q38" s="14">
        <v>0</v>
      </c>
      <c r="R38" s="14">
        <v>0</v>
      </c>
      <c r="S38" s="14">
        <v>0</v>
      </c>
    </row>
    <row r="39" spans="1:19" ht="12.75">
      <c r="A39" s="5">
        <f t="shared" si="0"/>
        <v>25</v>
      </c>
      <c r="B39" s="38" t="s">
        <v>515</v>
      </c>
      <c r="C39" s="4">
        <f t="shared" si="3"/>
        <v>0</v>
      </c>
      <c r="D39" s="4">
        <f t="shared" si="4"/>
        <v>0</v>
      </c>
      <c r="E39" s="4"/>
      <c r="F39" s="4"/>
      <c r="G39" s="4">
        <f t="shared" si="5"/>
        <v>0</v>
      </c>
      <c r="H39" s="4"/>
      <c r="I39" s="4">
        <f t="shared" si="6"/>
        <v>0</v>
      </c>
      <c r="J39" s="4">
        <f t="shared" si="6"/>
        <v>0</v>
      </c>
      <c r="K39" s="4">
        <f t="shared" si="6"/>
        <v>0</v>
      </c>
      <c r="L39" s="4"/>
      <c r="M39" s="14">
        <v>0</v>
      </c>
      <c r="N39" s="14">
        <v>0</v>
      </c>
      <c r="O39" s="14">
        <v>0</v>
      </c>
      <c r="P39" s="4"/>
      <c r="Q39" s="14">
        <v>0</v>
      </c>
      <c r="R39" s="14">
        <v>0</v>
      </c>
      <c r="S39" s="14">
        <v>0</v>
      </c>
    </row>
    <row r="40" spans="1:19" ht="12.75">
      <c r="A40" s="5">
        <f t="shared" si="0"/>
        <v>26</v>
      </c>
      <c r="B40" s="38" t="s">
        <v>129</v>
      </c>
      <c r="C40" s="4">
        <f t="shared" si="3"/>
        <v>9537377.74</v>
      </c>
      <c r="D40" s="4">
        <f t="shared" si="4"/>
        <v>8315922.879999999</v>
      </c>
      <c r="E40" s="4"/>
      <c r="F40" s="4"/>
      <c r="G40" s="4">
        <f t="shared" si="5"/>
        <v>8926650</v>
      </c>
      <c r="H40" s="4"/>
      <c r="I40" s="4">
        <f t="shared" si="6"/>
        <v>0</v>
      </c>
      <c r="J40" s="4">
        <f t="shared" si="6"/>
        <v>4481741.935</v>
      </c>
      <c r="K40" s="4">
        <f t="shared" si="6"/>
        <v>4444908.375</v>
      </c>
      <c r="L40" s="4"/>
      <c r="M40" s="14">
        <v>0</v>
      </c>
      <c r="N40" s="14">
        <v>4802400.08</v>
      </c>
      <c r="O40" s="14">
        <v>4734977.66</v>
      </c>
      <c r="P40" s="4"/>
      <c r="Q40" s="14">
        <v>0</v>
      </c>
      <c r="R40" s="14">
        <v>4161083.789999999</v>
      </c>
      <c r="S40" s="14">
        <v>4154839.09</v>
      </c>
    </row>
    <row r="41" spans="1:19" ht="12.75">
      <c r="A41" s="5">
        <f t="shared" si="0"/>
        <v>27</v>
      </c>
      <c r="B41" s="38" t="s">
        <v>516</v>
      </c>
      <c r="C41" s="4">
        <f t="shared" si="3"/>
        <v>4083740.9000000004</v>
      </c>
      <c r="D41" s="4">
        <f t="shared" si="4"/>
        <v>4322226.9</v>
      </c>
      <c r="E41" s="4"/>
      <c r="F41" s="4"/>
      <c r="G41" s="4">
        <f>ROUND(SUM(C41:F41)/2,0)</f>
        <v>4202984</v>
      </c>
      <c r="H41" s="4"/>
      <c r="I41" s="4">
        <f t="shared" si="6"/>
        <v>0</v>
      </c>
      <c r="J41" s="4">
        <f t="shared" si="6"/>
        <v>1858249.21</v>
      </c>
      <c r="K41" s="4">
        <f t="shared" si="6"/>
        <v>2344734.6900000004</v>
      </c>
      <c r="L41" s="4"/>
      <c r="M41" s="14">
        <v>0</v>
      </c>
      <c r="N41" s="14">
        <v>1811108.21</v>
      </c>
      <c r="O41" s="14">
        <v>2272632.6900000004</v>
      </c>
      <c r="P41" s="4"/>
      <c r="Q41" s="14">
        <v>0</v>
      </c>
      <c r="R41" s="14">
        <v>1905390.21</v>
      </c>
      <c r="S41" s="14">
        <v>2416836.6900000004</v>
      </c>
    </row>
    <row r="42" spans="1:19" ht="12.75">
      <c r="A42" s="5">
        <f t="shared" si="0"/>
        <v>28</v>
      </c>
      <c r="B42" s="38" t="s">
        <v>517</v>
      </c>
      <c r="C42" s="4">
        <f t="shared" si="3"/>
        <v>2652</v>
      </c>
      <c r="D42" s="4">
        <f t="shared" si="4"/>
        <v>2652</v>
      </c>
      <c r="E42" s="4"/>
      <c r="F42" s="4"/>
      <c r="G42" s="4">
        <f>ROUND(SUM(C42:F42)/2,0)</f>
        <v>2652</v>
      </c>
      <c r="H42" s="4"/>
      <c r="I42" s="4">
        <f t="shared" si="6"/>
        <v>0</v>
      </c>
      <c r="J42" s="4">
        <f t="shared" si="6"/>
        <v>0</v>
      </c>
      <c r="K42" s="4">
        <f t="shared" si="6"/>
        <v>2652</v>
      </c>
      <c r="L42" s="4"/>
      <c r="M42" s="14">
        <v>0</v>
      </c>
      <c r="N42" s="14">
        <v>0</v>
      </c>
      <c r="O42" s="14">
        <v>2652</v>
      </c>
      <c r="P42" s="4"/>
      <c r="Q42" s="14">
        <v>0</v>
      </c>
      <c r="R42" s="14">
        <v>0</v>
      </c>
      <c r="S42" s="14">
        <v>2652</v>
      </c>
    </row>
    <row r="43" spans="1:19" ht="12.75">
      <c r="A43" s="5">
        <f t="shared" si="0"/>
        <v>29</v>
      </c>
      <c r="B43" s="38" t="s">
        <v>125</v>
      </c>
      <c r="C43" s="4">
        <f t="shared" si="3"/>
        <v>5447</v>
      </c>
      <c r="D43" s="4">
        <f t="shared" si="4"/>
        <v>21482</v>
      </c>
      <c r="E43" s="4"/>
      <c r="F43" s="4"/>
      <c r="G43" s="4">
        <f t="shared" si="5"/>
        <v>13465</v>
      </c>
      <c r="H43" s="4"/>
      <c r="I43" s="4">
        <f t="shared" si="6"/>
        <v>0</v>
      </c>
      <c r="J43" s="4">
        <f t="shared" si="6"/>
        <v>4658</v>
      </c>
      <c r="K43" s="4">
        <f t="shared" si="6"/>
        <v>8806.5</v>
      </c>
      <c r="L43" s="4"/>
      <c r="M43" s="14">
        <v>0</v>
      </c>
      <c r="N43" s="14">
        <v>1884</v>
      </c>
      <c r="O43" s="14">
        <v>3563</v>
      </c>
      <c r="P43" s="4"/>
      <c r="Q43" s="14">
        <v>0</v>
      </c>
      <c r="R43" s="14">
        <v>7432</v>
      </c>
      <c r="S43" s="14">
        <v>14050</v>
      </c>
    </row>
    <row r="44" spans="1:19" ht="12.75">
      <c r="A44" s="5">
        <f t="shared" si="0"/>
        <v>30</v>
      </c>
      <c r="B44" s="38" t="s">
        <v>124</v>
      </c>
      <c r="C44" s="4">
        <f t="shared" si="3"/>
        <v>-106</v>
      </c>
      <c r="D44" s="4">
        <f t="shared" si="4"/>
        <v>2745</v>
      </c>
      <c r="E44" s="4"/>
      <c r="F44" s="4"/>
      <c r="G44" s="4">
        <f t="shared" si="5"/>
        <v>1320</v>
      </c>
      <c r="H44" s="4"/>
      <c r="I44" s="4">
        <f t="shared" si="6"/>
        <v>0</v>
      </c>
      <c r="J44" s="4">
        <f t="shared" si="6"/>
        <v>300.5</v>
      </c>
      <c r="K44" s="4">
        <f t="shared" si="6"/>
        <v>1019</v>
      </c>
      <c r="L44" s="4"/>
      <c r="M44" s="14">
        <v>0</v>
      </c>
      <c r="N44" s="14">
        <v>-65</v>
      </c>
      <c r="O44" s="14">
        <v>-41</v>
      </c>
      <c r="P44" s="4"/>
      <c r="Q44" s="14">
        <v>0</v>
      </c>
      <c r="R44" s="14">
        <v>666</v>
      </c>
      <c r="S44" s="14">
        <v>2079</v>
      </c>
    </row>
    <row r="45" spans="1:19" ht="12.75">
      <c r="A45" s="5">
        <f t="shared" si="0"/>
        <v>31</v>
      </c>
      <c r="B45" s="38" t="s">
        <v>123</v>
      </c>
      <c r="C45" s="4">
        <f t="shared" si="3"/>
        <v>3800.25</v>
      </c>
      <c r="D45" s="4">
        <f t="shared" si="4"/>
        <v>3800.25</v>
      </c>
      <c r="E45" s="4"/>
      <c r="F45" s="4"/>
      <c r="G45" s="4">
        <f t="shared" si="5"/>
        <v>3800</v>
      </c>
      <c r="H45" s="4"/>
      <c r="I45" s="4">
        <f t="shared" si="6"/>
        <v>0</v>
      </c>
      <c r="J45" s="4">
        <f t="shared" si="6"/>
        <v>1088.59</v>
      </c>
      <c r="K45" s="4">
        <f t="shared" si="6"/>
        <v>2711.66</v>
      </c>
      <c r="L45" s="4"/>
      <c r="M45" s="14">
        <v>0</v>
      </c>
      <c r="N45" s="14">
        <v>1088.59</v>
      </c>
      <c r="O45" s="14">
        <v>2711.66</v>
      </c>
      <c r="P45" s="4"/>
      <c r="Q45" s="14">
        <v>0</v>
      </c>
      <c r="R45" s="14">
        <v>1088.59</v>
      </c>
      <c r="S45" s="14">
        <v>2711.66</v>
      </c>
    </row>
    <row r="46" spans="1:19" ht="12.75">
      <c r="A46" s="5">
        <f t="shared" si="0"/>
        <v>32</v>
      </c>
      <c r="B46" s="38" t="s">
        <v>122</v>
      </c>
      <c r="C46" s="4">
        <f t="shared" si="3"/>
        <v>682</v>
      </c>
      <c r="D46" s="4">
        <f t="shared" si="4"/>
        <v>2988</v>
      </c>
      <c r="E46" s="4"/>
      <c r="F46" s="4"/>
      <c r="G46" s="4">
        <f t="shared" si="5"/>
        <v>1835</v>
      </c>
      <c r="H46" s="4"/>
      <c r="I46" s="4">
        <f t="shared" si="6"/>
        <v>0</v>
      </c>
      <c r="J46" s="4">
        <f t="shared" si="6"/>
        <v>754.5</v>
      </c>
      <c r="K46" s="4">
        <f t="shared" si="6"/>
        <v>1080.5</v>
      </c>
      <c r="L46" s="4"/>
      <c r="M46" s="14">
        <v>0</v>
      </c>
      <c r="N46" s="14">
        <v>290</v>
      </c>
      <c r="O46" s="14">
        <v>392</v>
      </c>
      <c r="P46" s="4"/>
      <c r="Q46" s="14">
        <v>0</v>
      </c>
      <c r="R46" s="14">
        <v>1219</v>
      </c>
      <c r="S46" s="14">
        <v>1769</v>
      </c>
    </row>
    <row r="47" spans="1:19" ht="12.75">
      <c r="A47" s="5">
        <f t="shared" si="0"/>
        <v>33</v>
      </c>
      <c r="B47" s="38" t="s">
        <v>121</v>
      </c>
      <c r="C47" s="4">
        <f t="shared" si="3"/>
        <v>31131989.25</v>
      </c>
      <c r="D47" s="4">
        <f t="shared" si="4"/>
        <v>33737215.25</v>
      </c>
      <c r="E47" s="4"/>
      <c r="F47" s="4"/>
      <c r="G47" s="4">
        <f t="shared" si="5"/>
        <v>32434602</v>
      </c>
      <c r="H47" s="4"/>
      <c r="I47" s="4">
        <f t="shared" si="6"/>
        <v>0</v>
      </c>
      <c r="J47" s="4">
        <f t="shared" si="6"/>
        <v>6245232.75</v>
      </c>
      <c r="K47" s="4">
        <f t="shared" si="6"/>
        <v>26189369.5</v>
      </c>
      <c r="L47" s="4"/>
      <c r="M47" s="14">
        <v>0</v>
      </c>
      <c r="N47" s="14">
        <v>5988422.25</v>
      </c>
      <c r="O47" s="14">
        <v>25143567</v>
      </c>
      <c r="P47" s="4"/>
      <c r="Q47" s="14">
        <v>0</v>
      </c>
      <c r="R47" s="14">
        <v>6502043.25</v>
      </c>
      <c r="S47" s="14">
        <v>27235172</v>
      </c>
    </row>
    <row r="48" spans="1:19" ht="12.75">
      <c r="A48" s="5">
        <f t="shared" si="0"/>
        <v>34</v>
      </c>
      <c r="B48" s="7" t="s">
        <v>120</v>
      </c>
      <c r="C48" s="4">
        <f t="shared" si="3"/>
        <v>0</v>
      </c>
      <c r="D48" s="4">
        <f t="shared" si="4"/>
        <v>0</v>
      </c>
      <c r="E48" s="4"/>
      <c r="F48" s="4"/>
      <c r="G48" s="4">
        <f t="shared" si="5"/>
        <v>0</v>
      </c>
      <c r="H48" s="4"/>
      <c r="I48" s="4">
        <f t="shared" si="6"/>
        <v>0</v>
      </c>
      <c r="J48" s="4">
        <f t="shared" si="6"/>
        <v>0</v>
      </c>
      <c r="K48" s="4">
        <f t="shared" si="6"/>
        <v>0</v>
      </c>
      <c r="L48" s="4"/>
      <c r="M48" s="14">
        <v>0</v>
      </c>
      <c r="N48" s="14">
        <v>0</v>
      </c>
      <c r="O48" s="14">
        <v>0</v>
      </c>
      <c r="P48" s="4"/>
      <c r="Q48" s="14">
        <v>0</v>
      </c>
      <c r="R48" s="14">
        <v>0</v>
      </c>
      <c r="S48" s="14">
        <v>0</v>
      </c>
    </row>
    <row r="49" spans="1:19" ht="12.75">
      <c r="A49" s="5">
        <f t="shared" si="0"/>
        <v>35</v>
      </c>
      <c r="B49" s="7" t="s">
        <v>119</v>
      </c>
      <c r="C49" s="4">
        <f t="shared" si="3"/>
        <v>0</v>
      </c>
      <c r="D49" s="4">
        <f t="shared" si="4"/>
        <v>0</v>
      </c>
      <c r="E49" s="4"/>
      <c r="F49" s="4"/>
      <c r="G49" s="4">
        <f t="shared" si="5"/>
        <v>0</v>
      </c>
      <c r="H49" s="4"/>
      <c r="I49" s="4">
        <f t="shared" si="6"/>
        <v>0</v>
      </c>
      <c r="J49" s="4">
        <f t="shared" si="6"/>
        <v>0</v>
      </c>
      <c r="K49" s="4">
        <f t="shared" si="6"/>
        <v>0</v>
      </c>
      <c r="L49" s="4"/>
      <c r="M49" s="14">
        <v>0</v>
      </c>
      <c r="N49" s="14">
        <v>0</v>
      </c>
      <c r="O49" s="14">
        <v>0</v>
      </c>
      <c r="P49" s="4"/>
      <c r="Q49" s="14">
        <v>0</v>
      </c>
      <c r="R49" s="14">
        <v>0</v>
      </c>
      <c r="S49" s="14">
        <v>0</v>
      </c>
    </row>
    <row r="50" spans="1:19" ht="12.75">
      <c r="A50" s="5">
        <f t="shared" si="0"/>
        <v>36</v>
      </c>
      <c r="B50" s="7" t="s">
        <v>518</v>
      </c>
      <c r="C50" s="4">
        <f t="shared" si="3"/>
        <v>0</v>
      </c>
      <c r="D50" s="4">
        <f t="shared" si="4"/>
        <v>0</v>
      </c>
      <c r="E50" s="4"/>
      <c r="F50" s="4"/>
      <c r="G50" s="4">
        <f>ROUND(SUM(C50:F50)/2,0)</f>
        <v>0</v>
      </c>
      <c r="H50" s="4"/>
      <c r="I50" s="4">
        <f t="shared" si="6"/>
        <v>0</v>
      </c>
      <c r="J50" s="4">
        <f t="shared" si="6"/>
        <v>0</v>
      </c>
      <c r="K50" s="4">
        <f t="shared" si="6"/>
        <v>0</v>
      </c>
      <c r="L50" s="4"/>
      <c r="M50" s="14">
        <v>0</v>
      </c>
      <c r="N50" s="14">
        <v>0</v>
      </c>
      <c r="O50" s="14">
        <v>0</v>
      </c>
      <c r="P50" s="4"/>
      <c r="Q50" s="14">
        <v>0</v>
      </c>
      <c r="R50" s="14">
        <v>0</v>
      </c>
      <c r="S50" s="14">
        <v>0</v>
      </c>
    </row>
    <row r="51" spans="1:19" ht="12.75">
      <c r="A51" s="5">
        <f t="shared" si="0"/>
        <v>37</v>
      </c>
      <c r="B51" s="7" t="s">
        <v>519</v>
      </c>
      <c r="C51" s="4">
        <f t="shared" si="3"/>
        <v>0</v>
      </c>
      <c r="D51" s="4">
        <f t="shared" si="4"/>
        <v>0</v>
      </c>
      <c r="E51" s="4"/>
      <c r="F51" s="4"/>
      <c r="G51" s="4">
        <f>ROUND(SUM(C51:F51)/2,0)</f>
        <v>0</v>
      </c>
      <c r="H51" s="4"/>
      <c r="I51" s="4">
        <f t="shared" si="6"/>
        <v>0</v>
      </c>
      <c r="J51" s="4">
        <f t="shared" si="6"/>
        <v>0</v>
      </c>
      <c r="K51" s="4">
        <f t="shared" si="6"/>
        <v>0</v>
      </c>
      <c r="L51" s="4"/>
      <c r="M51" s="14">
        <v>0</v>
      </c>
      <c r="N51" s="14">
        <v>0</v>
      </c>
      <c r="O51" s="14">
        <v>0</v>
      </c>
      <c r="P51" s="4"/>
      <c r="Q51" s="14">
        <v>0</v>
      </c>
      <c r="R51" s="14">
        <v>0</v>
      </c>
      <c r="S51" s="14">
        <v>0</v>
      </c>
    </row>
    <row r="52" spans="1:19" ht="12.75">
      <c r="A52" s="5">
        <f t="shared" si="0"/>
        <v>38</v>
      </c>
      <c r="B52" s="7" t="s">
        <v>113</v>
      </c>
      <c r="C52" s="4">
        <f t="shared" si="3"/>
        <v>0</v>
      </c>
      <c r="D52" s="4">
        <f t="shared" si="4"/>
        <v>0</v>
      </c>
      <c r="E52" s="4"/>
      <c r="F52" s="4"/>
      <c r="G52" s="4">
        <f>ROUND(SUM(C52:F52)/2,0)</f>
        <v>0</v>
      </c>
      <c r="H52" s="4"/>
      <c r="I52" s="4">
        <f t="shared" si="6"/>
        <v>0</v>
      </c>
      <c r="J52" s="4">
        <f t="shared" si="6"/>
        <v>0</v>
      </c>
      <c r="K52" s="4">
        <f t="shared" si="6"/>
        <v>0</v>
      </c>
      <c r="L52" s="4"/>
      <c r="M52" s="14">
        <v>0</v>
      </c>
      <c r="N52" s="14">
        <v>0</v>
      </c>
      <c r="O52" s="14">
        <v>0</v>
      </c>
      <c r="P52" s="4"/>
      <c r="Q52" s="14">
        <v>0</v>
      </c>
      <c r="R52" s="14">
        <v>0</v>
      </c>
      <c r="S52" s="14">
        <v>0</v>
      </c>
    </row>
    <row r="53" spans="1:19" ht="12.75">
      <c r="A53" s="5">
        <f t="shared" si="0"/>
        <v>39</v>
      </c>
      <c r="B53" s="7" t="s">
        <v>118</v>
      </c>
      <c r="C53" s="4">
        <f t="shared" si="3"/>
        <v>22425223.58</v>
      </c>
      <c r="D53" s="4">
        <f t="shared" si="4"/>
        <v>19414623.330000002</v>
      </c>
      <c r="E53" s="4"/>
      <c r="F53" s="4"/>
      <c r="G53" s="4">
        <f>ROUND(SUM(C53:F53)/2,0)</f>
        <v>20919923</v>
      </c>
      <c r="H53" s="4"/>
      <c r="I53" s="4">
        <f t="shared" si="6"/>
        <v>0</v>
      </c>
      <c r="J53" s="4">
        <f t="shared" si="6"/>
        <v>2053245.15</v>
      </c>
      <c r="K53" s="4">
        <f t="shared" si="6"/>
        <v>18866678.305</v>
      </c>
      <c r="L53" s="4"/>
      <c r="M53" s="14">
        <v>0</v>
      </c>
      <c r="N53" s="14">
        <v>2410034.75</v>
      </c>
      <c r="O53" s="14">
        <v>20015188.83</v>
      </c>
      <c r="P53" s="4"/>
      <c r="Q53" s="14">
        <v>0</v>
      </c>
      <c r="R53" s="14">
        <v>1696455.5499999998</v>
      </c>
      <c r="S53" s="14">
        <v>17718167.78</v>
      </c>
    </row>
    <row r="54" spans="1:19" ht="12.75">
      <c r="A54" s="5">
        <f t="shared" si="0"/>
        <v>40</v>
      </c>
      <c r="B54" s="38" t="s">
        <v>112</v>
      </c>
      <c r="C54" s="4">
        <f t="shared" si="3"/>
        <v>10748</v>
      </c>
      <c r="D54" s="4">
        <f t="shared" si="4"/>
        <v>54189</v>
      </c>
      <c r="E54" s="4"/>
      <c r="F54" s="4"/>
      <c r="G54" s="4">
        <f t="shared" si="5"/>
        <v>32469</v>
      </c>
      <c r="H54" s="4"/>
      <c r="I54" s="4">
        <f t="shared" si="6"/>
        <v>0</v>
      </c>
      <c r="J54" s="4">
        <f t="shared" si="6"/>
        <v>13820</v>
      </c>
      <c r="K54" s="4">
        <f t="shared" si="6"/>
        <v>18648.5</v>
      </c>
      <c r="L54" s="4"/>
      <c r="M54" s="14">
        <v>0</v>
      </c>
      <c r="N54" s="14">
        <v>4575</v>
      </c>
      <c r="O54" s="14">
        <v>6173</v>
      </c>
      <c r="P54" s="4"/>
      <c r="Q54" s="14">
        <v>0</v>
      </c>
      <c r="R54" s="14">
        <v>23065</v>
      </c>
      <c r="S54" s="14">
        <v>31124</v>
      </c>
    </row>
    <row r="55" spans="1:19" ht="12.75">
      <c r="A55" s="5">
        <f t="shared" si="0"/>
        <v>41</v>
      </c>
      <c r="B55" s="38" t="s">
        <v>111</v>
      </c>
      <c r="C55" s="4">
        <f t="shared" si="3"/>
        <v>70505948.72</v>
      </c>
      <c r="D55" s="4">
        <f t="shared" si="4"/>
        <v>55163385.019999996</v>
      </c>
      <c r="E55" s="4"/>
      <c r="F55" s="4"/>
      <c r="G55" s="4">
        <f t="shared" si="5"/>
        <v>62834667</v>
      </c>
      <c r="H55" s="4"/>
      <c r="I55" s="4">
        <f t="shared" si="6"/>
        <v>0</v>
      </c>
      <c r="J55" s="4">
        <f t="shared" si="6"/>
        <v>15915726.095</v>
      </c>
      <c r="K55" s="4">
        <f t="shared" si="6"/>
        <v>46918940.775</v>
      </c>
      <c r="L55" s="4"/>
      <c r="M55" s="14">
        <v>0</v>
      </c>
      <c r="N55" s="14">
        <v>18967198.42</v>
      </c>
      <c r="O55" s="14">
        <v>51538750.3</v>
      </c>
      <c r="P55" s="4"/>
      <c r="Q55" s="14">
        <v>0</v>
      </c>
      <c r="R55" s="14">
        <v>12864253.77</v>
      </c>
      <c r="S55" s="14">
        <v>42299131.25</v>
      </c>
    </row>
    <row r="56" spans="1:19" ht="12.75">
      <c r="A56" s="5">
        <f t="shared" si="0"/>
        <v>42</v>
      </c>
      <c r="B56" s="38" t="s">
        <v>520</v>
      </c>
      <c r="C56" s="4">
        <f t="shared" si="3"/>
        <v>0</v>
      </c>
      <c r="D56" s="4">
        <f t="shared" si="4"/>
        <v>0</v>
      </c>
      <c r="E56" s="4"/>
      <c r="F56" s="4"/>
      <c r="G56" s="4">
        <f t="shared" si="5"/>
        <v>0</v>
      </c>
      <c r="H56" s="4"/>
      <c r="I56" s="4">
        <f t="shared" si="6"/>
        <v>0</v>
      </c>
      <c r="J56" s="4">
        <f t="shared" si="6"/>
        <v>0</v>
      </c>
      <c r="K56" s="4">
        <f t="shared" si="6"/>
        <v>0</v>
      </c>
      <c r="L56" s="4"/>
      <c r="M56" s="14">
        <v>0</v>
      </c>
      <c r="N56" s="14">
        <v>0</v>
      </c>
      <c r="O56" s="14">
        <v>0</v>
      </c>
      <c r="P56" s="4"/>
      <c r="Q56" s="14">
        <v>0</v>
      </c>
      <c r="R56" s="14">
        <v>0</v>
      </c>
      <c r="S56" s="14">
        <v>0</v>
      </c>
    </row>
    <row r="57" spans="1:19" ht="12.75">
      <c r="A57" s="5">
        <f t="shared" si="0"/>
        <v>43</v>
      </c>
      <c r="B57" s="69" t="s">
        <v>521</v>
      </c>
      <c r="C57" s="4">
        <f t="shared" si="3"/>
        <v>0</v>
      </c>
      <c r="D57" s="4">
        <f t="shared" si="4"/>
        <v>0</v>
      </c>
      <c r="E57" s="4"/>
      <c r="F57" s="4"/>
      <c r="G57" s="4">
        <f>ROUND(SUM(C57:F57)/2,0)</f>
        <v>0</v>
      </c>
      <c r="H57" s="4"/>
      <c r="I57" s="4">
        <f t="shared" si="6"/>
        <v>0</v>
      </c>
      <c r="J57" s="4">
        <f t="shared" si="6"/>
        <v>0</v>
      </c>
      <c r="K57" s="4">
        <f t="shared" si="6"/>
        <v>0</v>
      </c>
      <c r="L57" s="4"/>
      <c r="M57" s="14">
        <v>0</v>
      </c>
      <c r="N57" s="14">
        <v>0</v>
      </c>
      <c r="O57" s="14">
        <v>0</v>
      </c>
      <c r="P57" s="4"/>
      <c r="Q57" s="14">
        <v>0</v>
      </c>
      <c r="R57" s="14">
        <v>0</v>
      </c>
      <c r="S57" s="14">
        <v>0</v>
      </c>
    </row>
    <row r="58" spans="1:21" ht="12.75">
      <c r="A58" s="5">
        <f t="shared" si="0"/>
        <v>44</v>
      </c>
      <c r="B58" s="38" t="s">
        <v>16</v>
      </c>
      <c r="C58" s="9">
        <v>761063.1</v>
      </c>
      <c r="D58" s="9">
        <v>761856.2</v>
      </c>
      <c r="E58" s="4">
        <f aca="true" t="shared" si="7" ref="E58:F60">-C58</f>
        <v>-761063.1</v>
      </c>
      <c r="F58" s="4">
        <f t="shared" si="7"/>
        <v>-761856.2</v>
      </c>
      <c r="G58" s="4">
        <f t="shared" si="5"/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72"/>
      <c r="T58" s="1"/>
      <c r="U58" s="1"/>
    </row>
    <row r="59" spans="1:21" ht="12.75">
      <c r="A59" s="5">
        <f t="shared" si="0"/>
        <v>45</v>
      </c>
      <c r="B59" s="38" t="s">
        <v>105</v>
      </c>
      <c r="C59" s="9">
        <v>83274500.31</v>
      </c>
      <c r="D59" s="9">
        <v>88750901.85</v>
      </c>
      <c r="E59" s="4">
        <f t="shared" si="7"/>
        <v>-83274500.31</v>
      </c>
      <c r="F59" s="4">
        <f t="shared" si="7"/>
        <v>-88750901.85</v>
      </c>
      <c r="G59" s="4">
        <f t="shared" si="5"/>
        <v>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72"/>
      <c r="T59" s="1"/>
      <c r="U59" s="1"/>
    </row>
    <row r="60" spans="1:21" ht="12.75">
      <c r="A60" s="5">
        <f t="shared" si="0"/>
        <v>46</v>
      </c>
      <c r="B60" s="38" t="s">
        <v>104</v>
      </c>
      <c r="C60" s="9">
        <v>-823019.48</v>
      </c>
      <c r="D60" s="9">
        <v>-775261.48</v>
      </c>
      <c r="E60" s="4">
        <f t="shared" si="7"/>
        <v>823019.48</v>
      </c>
      <c r="F60" s="4">
        <f t="shared" si="7"/>
        <v>775261.48</v>
      </c>
      <c r="G60" s="4">
        <f t="shared" si="5"/>
        <v>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72"/>
      <c r="T60" s="1"/>
      <c r="U60" s="1"/>
    </row>
    <row r="61" spans="1:19" ht="12.75">
      <c r="A61" s="5">
        <f t="shared" si="0"/>
        <v>47</v>
      </c>
      <c r="B61" s="3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72"/>
    </row>
    <row r="62" spans="1:19" ht="13.5" thickBot="1">
      <c r="A62" s="5">
        <f t="shared" si="0"/>
        <v>48</v>
      </c>
      <c r="B62" s="8" t="s">
        <v>103</v>
      </c>
      <c r="C62" s="6">
        <f>SUM(C28:C61)</f>
        <v>1051552280.21</v>
      </c>
      <c r="D62" s="6">
        <f>SUM(D28:D61)</f>
        <v>953310127.17</v>
      </c>
      <c r="E62" s="6">
        <f>SUM(E28:E61)</f>
        <v>-83212543.92999999</v>
      </c>
      <c r="F62" s="6">
        <f>SUM(F28:F61)</f>
        <v>-88737496.57</v>
      </c>
      <c r="G62" s="6">
        <f>SUM(G28:G61)</f>
        <v>916456184</v>
      </c>
      <c r="H62" s="4"/>
      <c r="I62" s="6">
        <f>SUM(I28:I61)</f>
        <v>0</v>
      </c>
      <c r="J62" s="6">
        <f>SUM(J28:J61)</f>
        <v>296484256.7699999</v>
      </c>
      <c r="K62" s="6">
        <f>SUM(K28:K61)</f>
        <v>619971926.6699998</v>
      </c>
      <c r="L62" s="4"/>
      <c r="M62" s="6">
        <f>SUM(M28:M61)</f>
        <v>0</v>
      </c>
      <c r="N62" s="6">
        <f>SUM(N28:N61)</f>
        <v>314902672.5799999</v>
      </c>
      <c r="O62" s="6">
        <f>SUM(O28:O61)</f>
        <v>653437063.6999999</v>
      </c>
      <c r="P62" s="4"/>
      <c r="Q62" s="6">
        <f>SUM(Q28:Q61)</f>
        <v>0</v>
      </c>
      <c r="R62" s="6">
        <f>SUM(R28:R61)</f>
        <v>278065840.96</v>
      </c>
      <c r="S62" s="6">
        <f>SUM(S28:S61)</f>
        <v>586506789.64</v>
      </c>
    </row>
    <row r="63" spans="1:19" ht="13.5" thickTop="1">
      <c r="A63" s="5">
        <f t="shared" si="0"/>
        <v>49</v>
      </c>
      <c r="B63" s="1"/>
      <c r="C63" s="3"/>
      <c r="D63" s="3"/>
      <c r="E63" s="3"/>
      <c r="F63" s="3"/>
      <c r="G63" s="3"/>
      <c r="H63" s="4"/>
      <c r="I63" s="3"/>
      <c r="J63" s="3"/>
      <c r="K63" s="3"/>
      <c r="L63" s="4"/>
      <c r="M63" s="73" t="s">
        <v>101</v>
      </c>
      <c r="N63" s="3"/>
      <c r="O63" s="3"/>
      <c r="P63" s="4"/>
      <c r="Q63" s="3"/>
      <c r="R63" s="3"/>
      <c r="S63" s="74"/>
    </row>
    <row r="64" spans="1:19" ht="12.75">
      <c r="A64" s="5">
        <f t="shared" si="0"/>
        <v>50</v>
      </c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11"/>
      <c r="N64" s="4"/>
      <c r="O64" s="4"/>
      <c r="P64" s="4"/>
      <c r="Q64" s="4"/>
      <c r="R64" s="4"/>
      <c r="S64" s="72"/>
    </row>
    <row r="65" spans="1:19" ht="12.75">
      <c r="A65" s="5">
        <f t="shared" si="0"/>
        <v>51</v>
      </c>
      <c r="B65" s="7" t="s">
        <v>102</v>
      </c>
      <c r="C65" s="4" t="s">
        <v>101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72"/>
    </row>
    <row r="66" spans="1:19" ht="12.75">
      <c r="A66" s="5">
        <f t="shared" si="0"/>
        <v>52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71" t="s">
        <v>101</v>
      </c>
      <c r="N66" s="4"/>
      <c r="O66" s="4"/>
      <c r="P66" s="4"/>
      <c r="Q66" s="4"/>
      <c r="R66" s="4"/>
      <c r="S66" s="72"/>
    </row>
    <row r="67" spans="1:19" ht="12.75">
      <c r="A67" s="5">
        <f t="shared" si="0"/>
        <v>53</v>
      </c>
      <c r="B67" s="15" t="s">
        <v>100</v>
      </c>
      <c r="C67" s="4">
        <f aca="true" t="shared" si="8" ref="C67:C99">SUM(M67:O67)</f>
        <v>572960.94</v>
      </c>
      <c r="D67" s="4">
        <f aca="true" t="shared" si="9" ref="D67:D130">SUM(Q67:S67)</f>
        <v>1558567.15</v>
      </c>
      <c r="E67" s="4"/>
      <c r="F67" s="4"/>
      <c r="G67" s="4">
        <f aca="true" t="shared" si="10" ref="G67:G130">ROUND(SUM(C67:F67)/2,0)</f>
        <v>1065764</v>
      </c>
      <c r="H67" s="4"/>
      <c r="I67" s="4">
        <f aca="true" t="shared" si="11" ref="I67:K99">(M67+Q67)/2</f>
        <v>0</v>
      </c>
      <c r="J67" s="4">
        <f t="shared" si="11"/>
        <v>0</v>
      </c>
      <c r="K67" s="4">
        <f t="shared" si="11"/>
        <v>1065764.045</v>
      </c>
      <c r="L67" s="4"/>
      <c r="M67" s="14">
        <v>0</v>
      </c>
      <c r="N67" s="14">
        <v>0</v>
      </c>
      <c r="O67" s="14">
        <v>572960.94</v>
      </c>
      <c r="P67" s="4"/>
      <c r="Q67" s="14">
        <v>0</v>
      </c>
      <c r="R67" s="14">
        <v>0</v>
      </c>
      <c r="S67" s="14">
        <v>1558567.15</v>
      </c>
    </row>
    <row r="68" spans="1:19" ht="12.75">
      <c r="A68" s="5">
        <f t="shared" si="0"/>
        <v>54</v>
      </c>
      <c r="B68" s="69" t="s">
        <v>493</v>
      </c>
      <c r="C68" s="4">
        <f t="shared" si="8"/>
        <v>107105481.96</v>
      </c>
      <c r="D68" s="4">
        <f t="shared" si="9"/>
        <v>130295883.26</v>
      </c>
      <c r="E68" s="4"/>
      <c r="F68" s="4"/>
      <c r="G68" s="4">
        <f>ROUND(SUM(C68:F68)/2,0)</f>
        <v>118700683</v>
      </c>
      <c r="H68" s="4"/>
      <c r="I68" s="4">
        <f t="shared" si="11"/>
        <v>0</v>
      </c>
      <c r="J68" s="4">
        <f t="shared" si="11"/>
        <v>0</v>
      </c>
      <c r="K68" s="4">
        <f t="shared" si="11"/>
        <v>118700682.61</v>
      </c>
      <c r="L68" s="4"/>
      <c r="M68" s="14">
        <v>0</v>
      </c>
      <c r="N68" s="14">
        <v>0</v>
      </c>
      <c r="O68" s="14">
        <v>107105481.96</v>
      </c>
      <c r="P68" s="4"/>
      <c r="Q68" s="14">
        <v>0</v>
      </c>
      <c r="R68" s="14">
        <v>0</v>
      </c>
      <c r="S68" s="14">
        <v>130295883.26</v>
      </c>
    </row>
    <row r="69" spans="1:19" ht="12.75">
      <c r="A69" s="5">
        <f t="shared" si="0"/>
        <v>55</v>
      </c>
      <c r="B69" s="69" t="s">
        <v>522</v>
      </c>
      <c r="C69" s="4">
        <f t="shared" si="8"/>
        <v>-0.01</v>
      </c>
      <c r="D69" s="4">
        <f t="shared" si="9"/>
        <v>-0.01</v>
      </c>
      <c r="E69" s="4"/>
      <c r="F69" s="4"/>
      <c r="G69" s="4">
        <f t="shared" si="10"/>
        <v>0</v>
      </c>
      <c r="H69" s="4"/>
      <c r="I69" s="4">
        <f t="shared" si="11"/>
        <v>0</v>
      </c>
      <c r="J69" s="4">
        <f t="shared" si="11"/>
        <v>0</v>
      </c>
      <c r="K69" s="4">
        <f t="shared" si="11"/>
        <v>-0.01</v>
      </c>
      <c r="L69" s="4"/>
      <c r="M69" s="14">
        <v>0</v>
      </c>
      <c r="N69" s="14">
        <v>0</v>
      </c>
      <c r="O69" s="14">
        <v>-0.01</v>
      </c>
      <c r="P69" s="4"/>
      <c r="Q69" s="14">
        <v>0</v>
      </c>
      <c r="R69" s="14">
        <v>0</v>
      </c>
      <c r="S69" s="14">
        <v>-0.01</v>
      </c>
    </row>
    <row r="70" spans="1:19" ht="12.75">
      <c r="A70" s="5">
        <f t="shared" si="0"/>
        <v>56</v>
      </c>
      <c r="B70" s="38" t="s">
        <v>523</v>
      </c>
      <c r="C70" s="4">
        <f t="shared" si="8"/>
        <v>0</v>
      </c>
      <c r="D70" s="4">
        <f t="shared" si="9"/>
        <v>0</v>
      </c>
      <c r="E70" s="4"/>
      <c r="F70" s="4"/>
      <c r="G70" s="4">
        <f t="shared" si="10"/>
        <v>0</v>
      </c>
      <c r="H70" s="4"/>
      <c r="I70" s="4">
        <f t="shared" si="11"/>
        <v>0</v>
      </c>
      <c r="J70" s="4">
        <f t="shared" si="11"/>
        <v>0</v>
      </c>
      <c r="K70" s="4">
        <f t="shared" si="11"/>
        <v>0</v>
      </c>
      <c r="L70" s="4"/>
      <c r="M70" s="14">
        <v>0</v>
      </c>
      <c r="N70" s="14">
        <v>0</v>
      </c>
      <c r="O70" s="14">
        <v>0</v>
      </c>
      <c r="P70" s="4"/>
      <c r="Q70" s="14">
        <v>0</v>
      </c>
      <c r="R70" s="14">
        <v>0</v>
      </c>
      <c r="S70" s="14">
        <v>0</v>
      </c>
    </row>
    <row r="71" spans="1:19" ht="12.75">
      <c r="A71" s="5">
        <f t="shared" si="0"/>
        <v>57</v>
      </c>
      <c r="B71" s="38" t="s">
        <v>524</v>
      </c>
      <c r="C71" s="4">
        <f t="shared" si="8"/>
        <v>-10404303.7</v>
      </c>
      <c r="D71" s="4">
        <f t="shared" si="9"/>
        <v>-10404303.7</v>
      </c>
      <c r="E71" s="4"/>
      <c r="F71" s="4"/>
      <c r="G71" s="4">
        <f>ROUND(SUM(C71:F71)/2,0)</f>
        <v>-10404304</v>
      </c>
      <c r="H71" s="4"/>
      <c r="I71" s="4">
        <f t="shared" si="11"/>
        <v>0</v>
      </c>
      <c r="J71" s="4">
        <f t="shared" si="11"/>
        <v>0</v>
      </c>
      <c r="K71" s="4">
        <f t="shared" si="11"/>
        <v>-10404303.7</v>
      </c>
      <c r="L71" s="4"/>
      <c r="M71" s="14">
        <v>0</v>
      </c>
      <c r="N71" s="14">
        <v>0</v>
      </c>
      <c r="O71" s="14">
        <v>-10404303.7</v>
      </c>
      <c r="P71" s="4"/>
      <c r="Q71" s="14">
        <v>0</v>
      </c>
      <c r="R71" s="14">
        <v>0</v>
      </c>
      <c r="S71" s="14">
        <v>-10404303.7</v>
      </c>
    </row>
    <row r="72" spans="1:19" ht="12.75">
      <c r="A72" s="5">
        <f t="shared" si="0"/>
        <v>58</v>
      </c>
      <c r="B72" s="69" t="s">
        <v>525</v>
      </c>
      <c r="C72" s="4">
        <f t="shared" si="8"/>
        <v>20666954.94</v>
      </c>
      <c r="D72" s="4">
        <f t="shared" si="9"/>
        <v>25623660.45</v>
      </c>
      <c r="E72" s="4"/>
      <c r="F72" s="4"/>
      <c r="G72" s="4">
        <f t="shared" si="10"/>
        <v>23145308</v>
      </c>
      <c r="H72" s="4"/>
      <c r="I72" s="4">
        <f t="shared" si="11"/>
        <v>0</v>
      </c>
      <c r="J72" s="4">
        <f t="shared" si="11"/>
        <v>0</v>
      </c>
      <c r="K72" s="4">
        <f t="shared" si="11"/>
        <v>23145307.695</v>
      </c>
      <c r="L72" s="4"/>
      <c r="M72" s="14">
        <v>0</v>
      </c>
      <c r="N72" s="14">
        <v>0</v>
      </c>
      <c r="O72" s="14">
        <v>20666954.94</v>
      </c>
      <c r="P72" s="4"/>
      <c r="Q72" s="14">
        <v>0</v>
      </c>
      <c r="R72" s="14">
        <v>0</v>
      </c>
      <c r="S72" s="14">
        <v>25623660.45</v>
      </c>
    </row>
    <row r="73" spans="1:19" ht="12.75">
      <c r="A73" s="5">
        <f t="shared" si="0"/>
        <v>59</v>
      </c>
      <c r="B73" s="69" t="s">
        <v>526</v>
      </c>
      <c r="C73" s="4">
        <f t="shared" si="8"/>
        <v>0</v>
      </c>
      <c r="D73" s="4">
        <f t="shared" si="9"/>
        <v>0</v>
      </c>
      <c r="E73" s="4"/>
      <c r="F73" s="4"/>
      <c r="G73" s="4">
        <f t="shared" si="10"/>
        <v>0</v>
      </c>
      <c r="H73" s="4"/>
      <c r="I73" s="4">
        <f t="shared" si="11"/>
        <v>0</v>
      </c>
      <c r="J73" s="4">
        <f t="shared" si="11"/>
        <v>0</v>
      </c>
      <c r="K73" s="4">
        <f t="shared" si="11"/>
        <v>0</v>
      </c>
      <c r="L73" s="4"/>
      <c r="M73" s="14">
        <v>0</v>
      </c>
      <c r="N73" s="14">
        <v>0</v>
      </c>
      <c r="O73" s="14">
        <v>0</v>
      </c>
      <c r="P73" s="4"/>
      <c r="Q73" s="14">
        <v>0</v>
      </c>
      <c r="R73" s="14">
        <v>0</v>
      </c>
      <c r="S73" s="14">
        <v>0</v>
      </c>
    </row>
    <row r="74" spans="1:19" ht="12.75">
      <c r="A74" s="5">
        <f t="shared" si="0"/>
        <v>60</v>
      </c>
      <c r="B74" s="49" t="s">
        <v>527</v>
      </c>
      <c r="C74" s="4">
        <f t="shared" si="8"/>
        <v>0</v>
      </c>
      <c r="D74" s="4">
        <f t="shared" si="9"/>
        <v>0</v>
      </c>
      <c r="E74" s="4"/>
      <c r="F74" s="4"/>
      <c r="G74" s="4">
        <f>ROUND(SUM(C74:F74)/2,0)</f>
        <v>0</v>
      </c>
      <c r="H74" s="4"/>
      <c r="I74" s="4">
        <f t="shared" si="11"/>
        <v>0</v>
      </c>
      <c r="J74" s="4">
        <f t="shared" si="11"/>
        <v>0</v>
      </c>
      <c r="K74" s="4">
        <f t="shared" si="11"/>
        <v>0</v>
      </c>
      <c r="L74" s="4"/>
      <c r="M74" s="14">
        <v>0</v>
      </c>
      <c r="N74" s="14">
        <v>0</v>
      </c>
      <c r="O74" s="14">
        <v>0</v>
      </c>
      <c r="P74" s="4"/>
      <c r="Q74" s="14">
        <v>0</v>
      </c>
      <c r="R74" s="14">
        <v>0</v>
      </c>
      <c r="S74" s="14">
        <v>0</v>
      </c>
    </row>
    <row r="75" spans="1:19" ht="12.75">
      <c r="A75" s="5">
        <f t="shared" si="0"/>
        <v>61</v>
      </c>
      <c r="B75" s="69" t="s">
        <v>528</v>
      </c>
      <c r="C75" s="4">
        <f t="shared" si="8"/>
        <v>3657375.4</v>
      </c>
      <c r="D75" s="4">
        <f t="shared" si="9"/>
        <v>3657375.4</v>
      </c>
      <c r="E75" s="4"/>
      <c r="F75" s="4"/>
      <c r="G75" s="4">
        <f t="shared" si="10"/>
        <v>3657375</v>
      </c>
      <c r="H75" s="4"/>
      <c r="I75" s="4">
        <f t="shared" si="11"/>
        <v>0</v>
      </c>
      <c r="J75" s="4">
        <f t="shared" si="11"/>
        <v>0</v>
      </c>
      <c r="K75" s="4">
        <f t="shared" si="11"/>
        <v>3657375.4</v>
      </c>
      <c r="L75" s="4"/>
      <c r="M75" s="14">
        <v>0</v>
      </c>
      <c r="N75" s="14">
        <v>0</v>
      </c>
      <c r="O75" s="14">
        <v>3657375.4</v>
      </c>
      <c r="P75" s="4"/>
      <c r="Q75" s="14">
        <v>0</v>
      </c>
      <c r="R75" s="14">
        <v>0</v>
      </c>
      <c r="S75" s="14">
        <v>3657375.4</v>
      </c>
    </row>
    <row r="76" spans="1:19" ht="12.75">
      <c r="A76" s="5">
        <f t="shared" si="0"/>
        <v>62</v>
      </c>
      <c r="B76" s="69" t="s">
        <v>529</v>
      </c>
      <c r="C76" s="4">
        <f t="shared" si="8"/>
        <v>0</v>
      </c>
      <c r="D76" s="4">
        <f t="shared" si="9"/>
        <v>0</v>
      </c>
      <c r="E76" s="4"/>
      <c r="F76" s="4"/>
      <c r="G76" s="4">
        <f>ROUND(SUM(C76:F76)/2,0)</f>
        <v>0</v>
      </c>
      <c r="H76" s="4"/>
      <c r="I76" s="4">
        <f t="shared" si="11"/>
        <v>0</v>
      </c>
      <c r="J76" s="4">
        <f t="shared" si="11"/>
        <v>0</v>
      </c>
      <c r="K76" s="4">
        <f t="shared" si="11"/>
        <v>0</v>
      </c>
      <c r="L76" s="4"/>
      <c r="M76" s="14">
        <v>0</v>
      </c>
      <c r="N76" s="14">
        <v>0</v>
      </c>
      <c r="O76" s="14">
        <v>0</v>
      </c>
      <c r="P76" s="4"/>
      <c r="Q76" s="14">
        <v>0</v>
      </c>
      <c r="R76" s="14">
        <v>0</v>
      </c>
      <c r="S76" s="14">
        <v>0</v>
      </c>
    </row>
    <row r="77" spans="1:19" ht="12.75">
      <c r="A77" s="5">
        <f t="shared" si="0"/>
        <v>63</v>
      </c>
      <c r="B77" s="38" t="s">
        <v>91</v>
      </c>
      <c r="C77" s="4">
        <f t="shared" si="8"/>
        <v>26715.35</v>
      </c>
      <c r="D77" s="4">
        <f t="shared" si="9"/>
        <v>27325.190000000002</v>
      </c>
      <c r="E77" s="4"/>
      <c r="F77" s="4"/>
      <c r="G77" s="4">
        <f t="shared" si="10"/>
        <v>27020</v>
      </c>
      <c r="H77" s="4"/>
      <c r="I77" s="4">
        <f t="shared" si="11"/>
        <v>0</v>
      </c>
      <c r="J77" s="4">
        <f t="shared" si="11"/>
        <v>20909.805</v>
      </c>
      <c r="K77" s="4">
        <f t="shared" si="11"/>
        <v>6110.465</v>
      </c>
      <c r="L77" s="4"/>
      <c r="M77" s="14">
        <v>0</v>
      </c>
      <c r="N77" s="14">
        <v>20795.53</v>
      </c>
      <c r="O77" s="14">
        <v>5919.82</v>
      </c>
      <c r="P77" s="4"/>
      <c r="Q77" s="14">
        <v>0</v>
      </c>
      <c r="R77" s="14">
        <v>21024.08</v>
      </c>
      <c r="S77" s="14">
        <v>6301.11</v>
      </c>
    </row>
    <row r="78" spans="1:19" ht="12.75">
      <c r="A78" s="5">
        <f t="shared" si="0"/>
        <v>64</v>
      </c>
      <c r="B78" s="38" t="s">
        <v>530</v>
      </c>
      <c r="C78" s="4">
        <f t="shared" si="8"/>
        <v>0</v>
      </c>
      <c r="D78" s="4">
        <f t="shared" si="9"/>
        <v>0</v>
      </c>
      <c r="E78" s="4"/>
      <c r="F78" s="4"/>
      <c r="G78" s="4">
        <f>ROUND(SUM(C78:F78)/2,0)</f>
        <v>0</v>
      </c>
      <c r="H78" s="4"/>
      <c r="I78" s="4">
        <f t="shared" si="11"/>
        <v>0</v>
      </c>
      <c r="J78" s="4">
        <f t="shared" si="11"/>
        <v>0</v>
      </c>
      <c r="K78" s="4">
        <f t="shared" si="11"/>
        <v>0</v>
      </c>
      <c r="L78" s="4"/>
      <c r="M78" s="14">
        <v>0</v>
      </c>
      <c r="N78" s="14">
        <v>0</v>
      </c>
      <c r="O78" s="14">
        <v>0</v>
      </c>
      <c r="P78" s="4"/>
      <c r="Q78" s="14">
        <v>0</v>
      </c>
      <c r="R78" s="14">
        <v>0</v>
      </c>
      <c r="S78" s="14">
        <v>0</v>
      </c>
    </row>
    <row r="79" spans="1:19" ht="12.75">
      <c r="A79" s="5">
        <f t="shared" si="0"/>
        <v>65</v>
      </c>
      <c r="B79" s="38" t="s">
        <v>531</v>
      </c>
      <c r="C79" s="4">
        <f t="shared" si="8"/>
        <v>56700176.75</v>
      </c>
      <c r="D79" s="4">
        <f t="shared" si="9"/>
        <v>72565580.15</v>
      </c>
      <c r="E79" s="4"/>
      <c r="F79" s="4"/>
      <c r="G79" s="4">
        <f>ROUND(SUM(C79:F79)/2,0)</f>
        <v>64632878</v>
      </c>
      <c r="H79" s="4"/>
      <c r="I79" s="4">
        <f t="shared" si="11"/>
        <v>0</v>
      </c>
      <c r="J79" s="4">
        <f t="shared" si="11"/>
        <v>0</v>
      </c>
      <c r="K79" s="4">
        <f t="shared" si="11"/>
        <v>64632878.45</v>
      </c>
      <c r="L79" s="4"/>
      <c r="M79" s="14">
        <v>0</v>
      </c>
      <c r="N79" s="14">
        <v>0</v>
      </c>
      <c r="O79" s="14">
        <v>56700176.75</v>
      </c>
      <c r="P79" s="4"/>
      <c r="Q79" s="14">
        <v>0</v>
      </c>
      <c r="R79" s="14">
        <v>0</v>
      </c>
      <c r="S79" s="14">
        <v>72565580.15</v>
      </c>
    </row>
    <row r="80" spans="1:19" ht="12.75">
      <c r="A80" s="5">
        <f aca="true" t="shared" si="12" ref="A80:A143">A79+1</f>
        <v>66</v>
      </c>
      <c r="B80" s="38" t="s">
        <v>322</v>
      </c>
      <c r="C80" s="4">
        <f>SUM(M80:O80)</f>
        <v>-231592.27</v>
      </c>
      <c r="D80" s="4">
        <f t="shared" si="9"/>
        <v>0</v>
      </c>
      <c r="E80" s="4"/>
      <c r="F80" s="4"/>
      <c r="G80" s="4">
        <f>ROUND(SUM(C80:F80)/2,0)</f>
        <v>-115796</v>
      </c>
      <c r="H80" s="4"/>
      <c r="I80" s="4">
        <f t="shared" si="11"/>
        <v>0</v>
      </c>
      <c r="J80" s="4">
        <f t="shared" si="11"/>
        <v>-115796.135</v>
      </c>
      <c r="K80" s="4">
        <f t="shared" si="11"/>
        <v>0</v>
      </c>
      <c r="L80" s="4"/>
      <c r="M80" s="14">
        <v>0</v>
      </c>
      <c r="N80" s="14">
        <v>-231592.27</v>
      </c>
      <c r="O80" s="14">
        <v>0</v>
      </c>
      <c r="P80" s="4"/>
      <c r="Q80" s="14">
        <v>0</v>
      </c>
      <c r="R80" s="14">
        <v>0</v>
      </c>
      <c r="S80" s="14">
        <v>0</v>
      </c>
    </row>
    <row r="81" spans="1:19" ht="12.75">
      <c r="A81" s="5">
        <f t="shared" si="12"/>
        <v>67</v>
      </c>
      <c r="B81" s="38" t="s">
        <v>89</v>
      </c>
      <c r="C81" s="4">
        <f t="shared" si="8"/>
        <v>0</v>
      </c>
      <c r="D81" s="4">
        <f t="shared" si="9"/>
        <v>0</v>
      </c>
      <c r="E81" s="4"/>
      <c r="F81" s="4"/>
      <c r="G81" s="4">
        <f t="shared" si="10"/>
        <v>0</v>
      </c>
      <c r="H81" s="4"/>
      <c r="I81" s="4">
        <f t="shared" si="11"/>
        <v>0</v>
      </c>
      <c r="J81" s="4">
        <f t="shared" si="11"/>
        <v>0</v>
      </c>
      <c r="K81" s="4">
        <f t="shared" si="11"/>
        <v>0</v>
      </c>
      <c r="L81" s="4"/>
      <c r="M81" s="14">
        <v>0</v>
      </c>
      <c r="N81" s="14">
        <v>0</v>
      </c>
      <c r="O81" s="14">
        <v>0</v>
      </c>
      <c r="P81" s="4"/>
      <c r="Q81" s="14">
        <v>0</v>
      </c>
      <c r="R81" s="14">
        <v>0</v>
      </c>
      <c r="S81" s="14">
        <v>0</v>
      </c>
    </row>
    <row r="82" spans="1:19" ht="12.75">
      <c r="A82" s="5">
        <f t="shared" si="12"/>
        <v>68</v>
      </c>
      <c r="B82" s="69" t="s">
        <v>532</v>
      </c>
      <c r="C82" s="4">
        <f t="shared" si="8"/>
        <v>0</v>
      </c>
      <c r="D82" s="4">
        <f t="shared" si="9"/>
        <v>0</v>
      </c>
      <c r="E82" s="4"/>
      <c r="F82" s="4"/>
      <c r="G82" s="4">
        <f t="shared" si="10"/>
        <v>0</v>
      </c>
      <c r="H82" s="4"/>
      <c r="I82" s="4">
        <f t="shared" si="11"/>
        <v>0</v>
      </c>
      <c r="J82" s="4">
        <f t="shared" si="11"/>
        <v>0</v>
      </c>
      <c r="K82" s="4">
        <f t="shared" si="11"/>
        <v>0</v>
      </c>
      <c r="L82" s="4"/>
      <c r="M82" s="14">
        <v>0</v>
      </c>
      <c r="N82" s="14">
        <v>0</v>
      </c>
      <c r="O82" s="14">
        <v>0</v>
      </c>
      <c r="P82" s="4"/>
      <c r="Q82" s="14">
        <v>0</v>
      </c>
      <c r="R82" s="14">
        <v>0</v>
      </c>
      <c r="S82" s="14">
        <v>0</v>
      </c>
    </row>
    <row r="83" spans="1:19" ht="12.75">
      <c r="A83" s="5">
        <f t="shared" si="12"/>
        <v>69</v>
      </c>
      <c r="B83" s="38" t="s">
        <v>87</v>
      </c>
      <c r="C83" s="4">
        <f t="shared" si="8"/>
        <v>58871765.81999999</v>
      </c>
      <c r="D83" s="4">
        <f t="shared" si="9"/>
        <v>60400747.01</v>
      </c>
      <c r="E83" s="4"/>
      <c r="F83" s="4"/>
      <c r="G83" s="4">
        <f t="shared" si="10"/>
        <v>59636256</v>
      </c>
      <c r="H83" s="4"/>
      <c r="I83" s="4">
        <f t="shared" si="11"/>
        <v>0</v>
      </c>
      <c r="J83" s="4">
        <f t="shared" si="11"/>
        <v>7462704.470000001</v>
      </c>
      <c r="K83" s="4">
        <f t="shared" si="11"/>
        <v>52173551.94499999</v>
      </c>
      <c r="L83" s="4"/>
      <c r="M83" s="14">
        <v>0</v>
      </c>
      <c r="N83" s="14">
        <v>7329499.66</v>
      </c>
      <c r="O83" s="14">
        <v>51542266.16</v>
      </c>
      <c r="P83" s="4"/>
      <c r="Q83" s="14">
        <v>0</v>
      </c>
      <c r="R83" s="14">
        <v>7595909.28</v>
      </c>
      <c r="S83" s="14">
        <v>52804837.73</v>
      </c>
    </row>
    <row r="84" spans="1:19" ht="12.75">
      <c r="A84" s="5">
        <f t="shared" si="12"/>
        <v>70</v>
      </c>
      <c r="B84" s="69" t="s">
        <v>86</v>
      </c>
      <c r="C84" s="4">
        <f t="shared" si="8"/>
        <v>-77726582.85</v>
      </c>
      <c r="D84" s="4">
        <f t="shared" si="9"/>
        <v>-79449506.85000001</v>
      </c>
      <c r="E84" s="4"/>
      <c r="F84" s="4"/>
      <c r="G84" s="4">
        <f t="shared" si="10"/>
        <v>-78588045</v>
      </c>
      <c r="H84" s="4"/>
      <c r="I84" s="4">
        <f t="shared" si="11"/>
        <v>0</v>
      </c>
      <c r="J84" s="4">
        <f t="shared" si="11"/>
        <v>-11549980.225000001</v>
      </c>
      <c r="K84" s="4">
        <f t="shared" si="11"/>
        <v>-67038064.625</v>
      </c>
      <c r="L84" s="4"/>
      <c r="M84" s="14">
        <v>0</v>
      </c>
      <c r="N84" s="14">
        <v>-11181946.3</v>
      </c>
      <c r="O84" s="14">
        <v>-66544636.55</v>
      </c>
      <c r="P84" s="4"/>
      <c r="Q84" s="14">
        <v>0</v>
      </c>
      <c r="R84" s="14">
        <v>-11918014.15</v>
      </c>
      <c r="S84" s="14">
        <v>-67531492.7</v>
      </c>
    </row>
    <row r="85" spans="1:19" ht="12.75">
      <c r="A85" s="5">
        <f t="shared" si="12"/>
        <v>71</v>
      </c>
      <c r="B85" s="69" t="s">
        <v>85</v>
      </c>
      <c r="C85" s="4">
        <f t="shared" si="8"/>
        <v>921365.54</v>
      </c>
      <c r="D85" s="4">
        <f t="shared" si="9"/>
        <v>1107203.07</v>
      </c>
      <c r="E85" s="4"/>
      <c r="F85" s="4"/>
      <c r="G85" s="4">
        <f t="shared" si="10"/>
        <v>1014284</v>
      </c>
      <c r="H85" s="4"/>
      <c r="I85" s="4">
        <f t="shared" si="11"/>
        <v>0</v>
      </c>
      <c r="J85" s="4">
        <f t="shared" si="11"/>
        <v>1014284.305</v>
      </c>
      <c r="K85" s="4">
        <f t="shared" si="11"/>
        <v>0</v>
      </c>
      <c r="L85" s="4"/>
      <c r="M85" s="14">
        <v>0</v>
      </c>
      <c r="N85" s="14">
        <v>921365.54</v>
      </c>
      <c r="O85" s="14">
        <v>0</v>
      </c>
      <c r="P85" s="4"/>
      <c r="Q85" s="14">
        <v>0</v>
      </c>
      <c r="R85" s="14">
        <v>1107203.07</v>
      </c>
      <c r="S85" s="14">
        <v>0</v>
      </c>
    </row>
    <row r="86" spans="1:19" ht="12.75">
      <c r="A86" s="5">
        <f t="shared" si="12"/>
        <v>72</v>
      </c>
      <c r="B86" s="69" t="s">
        <v>533</v>
      </c>
      <c r="C86" s="4">
        <f t="shared" si="8"/>
        <v>33007.24</v>
      </c>
      <c r="D86" s="4">
        <f t="shared" si="9"/>
        <v>32477.05</v>
      </c>
      <c r="E86" s="4"/>
      <c r="F86" s="4"/>
      <c r="G86" s="4">
        <f t="shared" si="10"/>
        <v>32742</v>
      </c>
      <c r="H86" s="4"/>
      <c r="I86" s="4">
        <f t="shared" si="11"/>
        <v>0</v>
      </c>
      <c r="J86" s="4">
        <f t="shared" si="11"/>
        <v>32742.144999999997</v>
      </c>
      <c r="K86" s="4">
        <f t="shared" si="11"/>
        <v>0</v>
      </c>
      <c r="L86" s="4"/>
      <c r="M86" s="14">
        <v>0</v>
      </c>
      <c r="N86" s="14">
        <v>33007.24</v>
      </c>
      <c r="O86" s="14">
        <v>0</v>
      </c>
      <c r="P86" s="4"/>
      <c r="Q86" s="14">
        <v>0</v>
      </c>
      <c r="R86" s="14">
        <v>32477.05</v>
      </c>
      <c r="S86" s="14">
        <v>0</v>
      </c>
    </row>
    <row r="87" spans="1:19" ht="12.75">
      <c r="A87" s="5">
        <f t="shared" si="12"/>
        <v>73</v>
      </c>
      <c r="B87" s="7" t="s">
        <v>534</v>
      </c>
      <c r="C87" s="4">
        <f t="shared" si="8"/>
        <v>0</v>
      </c>
      <c r="D87" s="4">
        <f t="shared" si="9"/>
        <v>0</v>
      </c>
      <c r="E87" s="4"/>
      <c r="F87" s="4"/>
      <c r="G87" s="4">
        <f t="shared" si="10"/>
        <v>0</v>
      </c>
      <c r="H87" s="4"/>
      <c r="I87" s="4">
        <f t="shared" si="11"/>
        <v>0</v>
      </c>
      <c r="J87" s="4">
        <f t="shared" si="11"/>
        <v>0</v>
      </c>
      <c r="K87" s="4">
        <f t="shared" si="11"/>
        <v>0</v>
      </c>
      <c r="L87" s="4"/>
      <c r="M87" s="14">
        <v>0</v>
      </c>
      <c r="N87" s="14">
        <v>0</v>
      </c>
      <c r="O87" s="14">
        <v>0</v>
      </c>
      <c r="P87" s="4"/>
      <c r="Q87" s="14">
        <v>0</v>
      </c>
      <c r="R87" s="14">
        <v>0</v>
      </c>
      <c r="S87" s="14">
        <v>0</v>
      </c>
    </row>
    <row r="88" spans="1:19" ht="12.75">
      <c r="A88" s="5">
        <f t="shared" si="12"/>
        <v>74</v>
      </c>
      <c r="B88" s="7" t="s">
        <v>535</v>
      </c>
      <c r="C88" s="4">
        <f t="shared" si="8"/>
        <v>0</v>
      </c>
      <c r="D88" s="4">
        <f t="shared" si="9"/>
        <v>0</v>
      </c>
      <c r="E88" s="4"/>
      <c r="F88" s="4"/>
      <c r="G88" s="4">
        <f t="shared" si="10"/>
        <v>0</v>
      </c>
      <c r="H88" s="4"/>
      <c r="I88" s="4">
        <f t="shared" si="11"/>
        <v>0</v>
      </c>
      <c r="J88" s="4">
        <f t="shared" si="11"/>
        <v>0</v>
      </c>
      <c r="K88" s="4">
        <f t="shared" si="11"/>
        <v>0</v>
      </c>
      <c r="L88" s="4"/>
      <c r="M88" s="14">
        <v>0</v>
      </c>
      <c r="N88" s="14">
        <v>0</v>
      </c>
      <c r="O88" s="14">
        <v>0</v>
      </c>
      <c r="P88" s="4"/>
      <c r="Q88" s="14">
        <v>0</v>
      </c>
      <c r="R88" s="14">
        <v>0</v>
      </c>
      <c r="S88" s="14">
        <v>0</v>
      </c>
    </row>
    <row r="89" spans="1:19" ht="12.75">
      <c r="A89" s="5">
        <f t="shared" si="12"/>
        <v>75</v>
      </c>
      <c r="B89" s="7" t="s">
        <v>78</v>
      </c>
      <c r="C89" s="4">
        <f t="shared" si="8"/>
        <v>20839.05</v>
      </c>
      <c r="D89" s="4">
        <f t="shared" si="9"/>
        <v>10173543.45</v>
      </c>
      <c r="E89" s="4"/>
      <c r="F89" s="4"/>
      <c r="G89" s="4">
        <f t="shared" si="10"/>
        <v>5097191</v>
      </c>
      <c r="H89" s="4"/>
      <c r="I89" s="4">
        <f t="shared" si="11"/>
        <v>0</v>
      </c>
      <c r="J89" s="4">
        <f t="shared" si="11"/>
        <v>0</v>
      </c>
      <c r="K89" s="4">
        <f t="shared" si="11"/>
        <v>5097191.25</v>
      </c>
      <c r="L89" s="4"/>
      <c r="M89" s="14">
        <v>0</v>
      </c>
      <c r="N89" s="14">
        <v>0</v>
      </c>
      <c r="O89" s="14">
        <v>20839.05</v>
      </c>
      <c r="P89" s="4"/>
      <c r="Q89" s="14">
        <v>0</v>
      </c>
      <c r="R89" s="14">
        <v>0</v>
      </c>
      <c r="S89" s="14">
        <v>10173543.45</v>
      </c>
    </row>
    <row r="90" spans="1:19" ht="12.75">
      <c r="A90" s="5">
        <f t="shared" si="12"/>
        <v>76</v>
      </c>
      <c r="B90" s="38" t="s">
        <v>536</v>
      </c>
      <c r="C90" s="4">
        <f t="shared" si="8"/>
        <v>0</v>
      </c>
      <c r="D90" s="4">
        <f t="shared" si="9"/>
        <v>0</v>
      </c>
      <c r="E90" s="4"/>
      <c r="F90" s="4"/>
      <c r="G90" s="4">
        <f t="shared" si="10"/>
        <v>0</v>
      </c>
      <c r="H90" s="4"/>
      <c r="I90" s="4">
        <f t="shared" si="11"/>
        <v>0</v>
      </c>
      <c r="J90" s="4">
        <f t="shared" si="11"/>
        <v>0</v>
      </c>
      <c r="K90" s="4">
        <f t="shared" si="11"/>
        <v>0</v>
      </c>
      <c r="L90" s="4"/>
      <c r="M90" s="14">
        <v>0</v>
      </c>
      <c r="N90" s="14">
        <v>0</v>
      </c>
      <c r="O90" s="14">
        <v>0</v>
      </c>
      <c r="P90" s="4"/>
      <c r="Q90" s="14">
        <v>0</v>
      </c>
      <c r="R90" s="14">
        <v>0</v>
      </c>
      <c r="S90" s="14">
        <v>0</v>
      </c>
    </row>
    <row r="91" spans="1:19" ht="12.75">
      <c r="A91" s="5">
        <f t="shared" si="12"/>
        <v>77</v>
      </c>
      <c r="B91" s="38" t="s">
        <v>537</v>
      </c>
      <c r="C91" s="4">
        <f t="shared" si="8"/>
        <v>0</v>
      </c>
      <c r="D91" s="4">
        <f t="shared" si="9"/>
        <v>0</v>
      </c>
      <c r="E91" s="4"/>
      <c r="F91" s="4"/>
      <c r="G91" s="4">
        <f t="shared" si="10"/>
        <v>0</v>
      </c>
      <c r="H91" s="4"/>
      <c r="I91" s="4">
        <f t="shared" si="11"/>
        <v>0</v>
      </c>
      <c r="J91" s="4">
        <f t="shared" si="11"/>
        <v>0</v>
      </c>
      <c r="K91" s="4">
        <f t="shared" si="11"/>
        <v>0</v>
      </c>
      <c r="L91" s="4"/>
      <c r="M91" s="14">
        <v>0</v>
      </c>
      <c r="N91" s="14">
        <v>0</v>
      </c>
      <c r="O91" s="14">
        <v>0</v>
      </c>
      <c r="P91" s="4"/>
      <c r="Q91" s="14">
        <v>0</v>
      </c>
      <c r="R91" s="14">
        <v>0</v>
      </c>
      <c r="S91" s="14">
        <v>0</v>
      </c>
    </row>
    <row r="92" spans="1:19" ht="12.75">
      <c r="A92" s="5">
        <f t="shared" si="12"/>
        <v>78</v>
      </c>
      <c r="B92" s="38" t="s">
        <v>538</v>
      </c>
      <c r="C92" s="4">
        <f t="shared" si="8"/>
        <v>0</v>
      </c>
      <c r="D92" s="4">
        <f t="shared" si="9"/>
        <v>0</v>
      </c>
      <c r="E92" s="4"/>
      <c r="F92" s="4"/>
      <c r="G92" s="4">
        <f t="shared" si="10"/>
        <v>0</v>
      </c>
      <c r="H92" s="4"/>
      <c r="I92" s="4">
        <f t="shared" si="11"/>
        <v>0</v>
      </c>
      <c r="J92" s="4">
        <f t="shared" si="11"/>
        <v>0</v>
      </c>
      <c r="K92" s="4">
        <f t="shared" si="11"/>
        <v>0</v>
      </c>
      <c r="L92" s="4"/>
      <c r="M92" s="14">
        <v>0</v>
      </c>
      <c r="N92" s="14">
        <v>0</v>
      </c>
      <c r="O92" s="14">
        <v>0</v>
      </c>
      <c r="P92" s="4"/>
      <c r="Q92" s="14">
        <v>0</v>
      </c>
      <c r="R92" s="14">
        <v>0</v>
      </c>
      <c r="S92" s="14">
        <v>0</v>
      </c>
    </row>
    <row r="93" spans="1:19" ht="12.75">
      <c r="A93" s="5">
        <f t="shared" si="12"/>
        <v>79</v>
      </c>
      <c r="B93" s="38" t="s">
        <v>76</v>
      </c>
      <c r="C93" s="4">
        <f t="shared" si="8"/>
        <v>0</v>
      </c>
      <c r="D93" s="4">
        <f t="shared" si="9"/>
        <v>0</v>
      </c>
      <c r="E93" s="4"/>
      <c r="F93" s="4"/>
      <c r="G93" s="4">
        <f t="shared" si="10"/>
        <v>0</v>
      </c>
      <c r="H93" s="4"/>
      <c r="I93" s="4">
        <f t="shared" si="11"/>
        <v>0</v>
      </c>
      <c r="J93" s="4">
        <f t="shared" si="11"/>
        <v>0</v>
      </c>
      <c r="K93" s="4">
        <f t="shared" si="11"/>
        <v>0</v>
      </c>
      <c r="L93" s="4"/>
      <c r="M93" s="14">
        <v>0</v>
      </c>
      <c r="N93" s="14">
        <v>0</v>
      </c>
      <c r="O93" s="14">
        <v>0</v>
      </c>
      <c r="P93" s="4"/>
      <c r="Q93" s="14">
        <v>0</v>
      </c>
      <c r="R93" s="14">
        <v>0</v>
      </c>
      <c r="S93" s="14">
        <v>0</v>
      </c>
    </row>
    <row r="94" spans="1:19" ht="12.75">
      <c r="A94" s="5">
        <f t="shared" si="12"/>
        <v>80</v>
      </c>
      <c r="B94" s="38" t="s">
        <v>539</v>
      </c>
      <c r="C94" s="4">
        <f t="shared" si="8"/>
        <v>0</v>
      </c>
      <c r="D94" s="4">
        <f t="shared" si="9"/>
        <v>0</v>
      </c>
      <c r="E94" s="4"/>
      <c r="F94" s="4"/>
      <c r="G94" s="4">
        <f t="shared" si="10"/>
        <v>0</v>
      </c>
      <c r="H94" s="4"/>
      <c r="I94" s="4">
        <f t="shared" si="11"/>
        <v>0</v>
      </c>
      <c r="J94" s="4">
        <f t="shared" si="11"/>
        <v>0</v>
      </c>
      <c r="K94" s="4">
        <f t="shared" si="11"/>
        <v>0</v>
      </c>
      <c r="L94" s="4"/>
      <c r="M94" s="14">
        <v>0</v>
      </c>
      <c r="N94" s="14">
        <v>0</v>
      </c>
      <c r="O94" s="14">
        <v>0</v>
      </c>
      <c r="P94" s="4"/>
      <c r="Q94" s="14">
        <v>0</v>
      </c>
      <c r="R94" s="14">
        <v>0</v>
      </c>
      <c r="S94" s="14">
        <v>0</v>
      </c>
    </row>
    <row r="95" spans="1:19" ht="12.75">
      <c r="A95" s="5">
        <f t="shared" si="12"/>
        <v>81</v>
      </c>
      <c r="B95" s="38" t="s">
        <v>75</v>
      </c>
      <c r="C95" s="4">
        <f t="shared" si="8"/>
        <v>0</v>
      </c>
      <c r="D95" s="4">
        <f t="shared" si="9"/>
        <v>0</v>
      </c>
      <c r="E95" s="4"/>
      <c r="F95" s="4"/>
      <c r="G95" s="4">
        <f t="shared" si="10"/>
        <v>0</v>
      </c>
      <c r="H95" s="4"/>
      <c r="I95" s="4">
        <f t="shared" si="11"/>
        <v>0</v>
      </c>
      <c r="J95" s="4">
        <f t="shared" si="11"/>
        <v>0</v>
      </c>
      <c r="K95" s="4">
        <f t="shared" si="11"/>
        <v>0</v>
      </c>
      <c r="L95" s="4"/>
      <c r="M95" s="14">
        <v>0</v>
      </c>
      <c r="N95" s="14">
        <v>0</v>
      </c>
      <c r="O95" s="14">
        <v>0</v>
      </c>
      <c r="P95" s="4"/>
      <c r="Q95" s="14">
        <v>0</v>
      </c>
      <c r="R95" s="14">
        <v>0</v>
      </c>
      <c r="S95" s="14">
        <v>0</v>
      </c>
    </row>
    <row r="96" spans="1:19" ht="12.75">
      <c r="A96" s="5">
        <f t="shared" si="12"/>
        <v>82</v>
      </c>
      <c r="B96" s="38" t="s">
        <v>74</v>
      </c>
      <c r="C96" s="4">
        <f t="shared" si="8"/>
        <v>0</v>
      </c>
      <c r="D96" s="4">
        <f t="shared" si="9"/>
        <v>0</v>
      </c>
      <c r="E96" s="4"/>
      <c r="F96" s="4"/>
      <c r="G96" s="4">
        <f t="shared" si="10"/>
        <v>0</v>
      </c>
      <c r="H96" s="4"/>
      <c r="I96" s="4">
        <f t="shared" si="11"/>
        <v>0</v>
      </c>
      <c r="J96" s="4">
        <f t="shared" si="11"/>
        <v>0</v>
      </c>
      <c r="K96" s="4">
        <f t="shared" si="11"/>
        <v>0</v>
      </c>
      <c r="L96" s="4"/>
      <c r="M96" s="14">
        <v>0</v>
      </c>
      <c r="N96" s="14">
        <v>0</v>
      </c>
      <c r="O96" s="14">
        <v>0</v>
      </c>
      <c r="P96" s="4"/>
      <c r="Q96" s="14">
        <v>0</v>
      </c>
      <c r="R96" s="14">
        <v>0</v>
      </c>
      <c r="S96" s="14">
        <v>0</v>
      </c>
    </row>
    <row r="97" spans="1:19" ht="12.75">
      <c r="A97" s="5">
        <f t="shared" si="12"/>
        <v>83</v>
      </c>
      <c r="B97" s="38" t="s">
        <v>233</v>
      </c>
      <c r="C97" s="4">
        <f t="shared" si="8"/>
        <v>0</v>
      </c>
      <c r="D97" s="4">
        <f t="shared" si="9"/>
        <v>0</v>
      </c>
      <c r="E97" s="4"/>
      <c r="F97" s="4"/>
      <c r="G97" s="4">
        <f t="shared" si="10"/>
        <v>0</v>
      </c>
      <c r="H97" s="4"/>
      <c r="I97" s="4">
        <f t="shared" si="11"/>
        <v>0</v>
      </c>
      <c r="J97" s="4">
        <f t="shared" si="11"/>
        <v>0</v>
      </c>
      <c r="K97" s="4">
        <f t="shared" si="11"/>
        <v>0</v>
      </c>
      <c r="L97" s="4"/>
      <c r="M97" s="14">
        <v>0</v>
      </c>
      <c r="N97" s="14">
        <v>0</v>
      </c>
      <c r="O97" s="14">
        <v>0</v>
      </c>
      <c r="P97" s="4"/>
      <c r="Q97" s="14">
        <v>0</v>
      </c>
      <c r="R97" s="14">
        <v>0</v>
      </c>
      <c r="S97" s="14">
        <v>0</v>
      </c>
    </row>
    <row r="98" spans="1:19" ht="12.75">
      <c r="A98" s="5">
        <f t="shared" si="12"/>
        <v>84</v>
      </c>
      <c r="B98" s="69" t="s">
        <v>540</v>
      </c>
      <c r="C98" s="4">
        <f t="shared" si="8"/>
        <v>-351822.61</v>
      </c>
      <c r="D98" s="4">
        <f t="shared" si="9"/>
        <v>-457347.61</v>
      </c>
      <c r="E98" s="4"/>
      <c r="F98" s="4"/>
      <c r="G98" s="4">
        <f t="shared" si="10"/>
        <v>-404585</v>
      </c>
      <c r="H98" s="4"/>
      <c r="I98" s="4">
        <f t="shared" si="11"/>
        <v>0</v>
      </c>
      <c r="J98" s="4">
        <f t="shared" si="11"/>
        <v>0</v>
      </c>
      <c r="K98" s="4">
        <f t="shared" si="11"/>
        <v>-404585.11</v>
      </c>
      <c r="L98" s="4"/>
      <c r="M98" s="14">
        <v>0</v>
      </c>
      <c r="N98" s="14">
        <v>0</v>
      </c>
      <c r="O98" s="14">
        <v>-351822.61</v>
      </c>
      <c r="P98" s="4"/>
      <c r="Q98" s="14">
        <v>0</v>
      </c>
      <c r="R98" s="14">
        <v>0</v>
      </c>
      <c r="S98" s="14">
        <v>-457347.61</v>
      </c>
    </row>
    <row r="99" spans="1:19" ht="12.75">
      <c r="A99" s="5">
        <f t="shared" si="12"/>
        <v>85</v>
      </c>
      <c r="B99" s="49" t="s">
        <v>541</v>
      </c>
      <c r="C99" s="4">
        <f t="shared" si="8"/>
        <v>0</v>
      </c>
      <c r="D99" s="4">
        <f t="shared" si="9"/>
        <v>0</v>
      </c>
      <c r="E99" s="4"/>
      <c r="F99" s="4"/>
      <c r="G99" s="4">
        <f t="shared" si="10"/>
        <v>0</v>
      </c>
      <c r="H99" s="4"/>
      <c r="I99" s="4">
        <f t="shared" si="11"/>
        <v>0</v>
      </c>
      <c r="J99" s="4">
        <f t="shared" si="11"/>
        <v>0</v>
      </c>
      <c r="K99" s="4">
        <f t="shared" si="11"/>
        <v>0</v>
      </c>
      <c r="L99" s="4"/>
      <c r="M99" s="14">
        <v>0</v>
      </c>
      <c r="N99" s="14">
        <v>0</v>
      </c>
      <c r="O99" s="14">
        <v>0</v>
      </c>
      <c r="P99" s="4"/>
      <c r="Q99" s="14">
        <v>0</v>
      </c>
      <c r="R99" s="14">
        <v>0</v>
      </c>
      <c r="S99" s="14">
        <v>0</v>
      </c>
    </row>
    <row r="100" spans="1:19" ht="12.75">
      <c r="A100" s="5">
        <f t="shared" si="12"/>
        <v>86</v>
      </c>
      <c r="B100" s="49" t="s">
        <v>542</v>
      </c>
      <c r="C100" s="4">
        <f aca="true" t="shared" si="13" ref="C100:C131">SUM(M100:O100)</f>
        <v>0</v>
      </c>
      <c r="D100" s="4">
        <f t="shared" si="9"/>
        <v>0</v>
      </c>
      <c r="E100" s="4"/>
      <c r="F100" s="4"/>
      <c r="G100" s="4">
        <f t="shared" si="10"/>
        <v>0</v>
      </c>
      <c r="H100" s="4"/>
      <c r="I100" s="4">
        <f aca="true" t="shared" si="14" ref="I100:K131">(M100+Q100)/2</f>
        <v>0</v>
      </c>
      <c r="J100" s="4">
        <f t="shared" si="14"/>
        <v>0</v>
      </c>
      <c r="K100" s="4">
        <f t="shared" si="14"/>
        <v>0</v>
      </c>
      <c r="L100" s="4"/>
      <c r="M100" s="14">
        <v>0</v>
      </c>
      <c r="N100" s="14">
        <v>0</v>
      </c>
      <c r="O100" s="14">
        <v>0</v>
      </c>
      <c r="P100" s="4"/>
      <c r="Q100" s="14">
        <v>0</v>
      </c>
      <c r="R100" s="14">
        <v>0</v>
      </c>
      <c r="S100" s="14">
        <v>0</v>
      </c>
    </row>
    <row r="101" spans="1:19" ht="12.75">
      <c r="A101" s="5">
        <f t="shared" si="12"/>
        <v>87</v>
      </c>
      <c r="B101" s="49" t="s">
        <v>543</v>
      </c>
      <c r="C101" s="4">
        <f t="shared" si="13"/>
        <v>0</v>
      </c>
      <c r="D101" s="4">
        <f t="shared" si="9"/>
        <v>0</v>
      </c>
      <c r="E101" s="4"/>
      <c r="F101" s="4"/>
      <c r="G101" s="4">
        <f t="shared" si="10"/>
        <v>0</v>
      </c>
      <c r="H101" s="4"/>
      <c r="I101" s="4">
        <f t="shared" si="14"/>
        <v>0</v>
      </c>
      <c r="J101" s="4">
        <f t="shared" si="14"/>
        <v>0</v>
      </c>
      <c r="K101" s="4">
        <f t="shared" si="14"/>
        <v>0</v>
      </c>
      <c r="L101" s="4"/>
      <c r="M101" s="14">
        <v>0</v>
      </c>
      <c r="N101" s="14">
        <v>0</v>
      </c>
      <c r="O101" s="14">
        <v>0</v>
      </c>
      <c r="P101" s="4"/>
      <c r="Q101" s="14">
        <v>0</v>
      </c>
      <c r="R101" s="14">
        <v>0</v>
      </c>
      <c r="S101" s="14">
        <v>0</v>
      </c>
    </row>
    <row r="102" spans="1:19" ht="12.75">
      <c r="A102" s="5">
        <f t="shared" si="12"/>
        <v>88</v>
      </c>
      <c r="B102" s="49" t="s">
        <v>544</v>
      </c>
      <c r="C102" s="4">
        <f t="shared" si="13"/>
        <v>0</v>
      </c>
      <c r="D102" s="4">
        <f t="shared" si="9"/>
        <v>1947794.08</v>
      </c>
      <c r="E102" s="4"/>
      <c r="F102" s="4"/>
      <c r="G102" s="4">
        <f t="shared" si="10"/>
        <v>973897</v>
      </c>
      <c r="H102" s="4"/>
      <c r="I102" s="4">
        <f t="shared" si="14"/>
        <v>0</v>
      </c>
      <c r="J102" s="4">
        <f t="shared" si="14"/>
        <v>973897.04</v>
      </c>
      <c r="K102" s="4">
        <f t="shared" si="14"/>
        <v>0</v>
      </c>
      <c r="L102" s="4"/>
      <c r="M102" s="14">
        <v>0</v>
      </c>
      <c r="N102" s="14">
        <v>0</v>
      </c>
      <c r="O102" s="14">
        <v>0</v>
      </c>
      <c r="P102" s="4"/>
      <c r="Q102" s="14">
        <v>0</v>
      </c>
      <c r="R102" s="14">
        <v>1947794.08</v>
      </c>
      <c r="S102" s="14">
        <v>0</v>
      </c>
    </row>
    <row r="103" spans="1:19" ht="12.75">
      <c r="A103" s="5">
        <f t="shared" si="12"/>
        <v>89</v>
      </c>
      <c r="B103" s="49" t="s">
        <v>545</v>
      </c>
      <c r="C103" s="4">
        <f t="shared" si="13"/>
        <v>1984329.24</v>
      </c>
      <c r="D103" s="4">
        <f t="shared" si="9"/>
        <v>2126545.17</v>
      </c>
      <c r="E103" s="4"/>
      <c r="F103" s="4"/>
      <c r="G103" s="4">
        <f t="shared" si="10"/>
        <v>2055437</v>
      </c>
      <c r="H103" s="4"/>
      <c r="I103" s="4">
        <f t="shared" si="14"/>
        <v>0</v>
      </c>
      <c r="J103" s="4">
        <f t="shared" si="14"/>
        <v>2055437.205</v>
      </c>
      <c r="K103" s="4">
        <f t="shared" si="14"/>
        <v>0</v>
      </c>
      <c r="L103" s="4"/>
      <c r="M103" s="14">
        <v>0</v>
      </c>
      <c r="N103" s="14">
        <v>1984329.24</v>
      </c>
      <c r="O103" s="14">
        <v>0</v>
      </c>
      <c r="P103" s="4"/>
      <c r="Q103" s="14">
        <v>0</v>
      </c>
      <c r="R103" s="14">
        <v>2126545.17</v>
      </c>
      <c r="S103" s="14">
        <v>0</v>
      </c>
    </row>
    <row r="104" spans="1:19" ht="12.75">
      <c r="A104" s="5">
        <f t="shared" si="12"/>
        <v>90</v>
      </c>
      <c r="B104" s="49" t="s">
        <v>546</v>
      </c>
      <c r="C104" s="4">
        <f t="shared" si="13"/>
        <v>0</v>
      </c>
      <c r="D104" s="4">
        <f t="shared" si="9"/>
        <v>0</v>
      </c>
      <c r="E104" s="4"/>
      <c r="F104" s="4"/>
      <c r="G104" s="4">
        <f t="shared" si="10"/>
        <v>0</v>
      </c>
      <c r="H104" s="4"/>
      <c r="I104" s="4">
        <f t="shared" si="14"/>
        <v>0</v>
      </c>
      <c r="J104" s="4">
        <f t="shared" si="14"/>
        <v>0</v>
      </c>
      <c r="K104" s="4">
        <f t="shared" si="14"/>
        <v>0</v>
      </c>
      <c r="L104" s="4"/>
      <c r="M104" s="14">
        <v>0</v>
      </c>
      <c r="N104" s="14">
        <v>0</v>
      </c>
      <c r="O104" s="14">
        <v>0</v>
      </c>
      <c r="P104" s="4"/>
      <c r="Q104" s="14">
        <v>0</v>
      </c>
      <c r="R104" s="14">
        <v>0</v>
      </c>
      <c r="S104" s="14">
        <v>0</v>
      </c>
    </row>
    <row r="105" spans="1:19" ht="12.75">
      <c r="A105" s="5">
        <f t="shared" si="12"/>
        <v>91</v>
      </c>
      <c r="B105" s="49" t="s">
        <v>69</v>
      </c>
      <c r="C105" s="4">
        <f t="shared" si="13"/>
        <v>77726582.85</v>
      </c>
      <c r="D105" s="4">
        <f t="shared" si="9"/>
        <v>79449506.85000001</v>
      </c>
      <c r="E105" s="4"/>
      <c r="F105" s="4"/>
      <c r="G105" s="4">
        <f t="shared" si="10"/>
        <v>78588045</v>
      </c>
      <c r="H105" s="4"/>
      <c r="I105" s="4">
        <f t="shared" si="14"/>
        <v>0</v>
      </c>
      <c r="J105" s="4">
        <f t="shared" si="14"/>
        <v>11549980.225000001</v>
      </c>
      <c r="K105" s="4">
        <f t="shared" si="14"/>
        <v>67038064.625</v>
      </c>
      <c r="L105" s="4"/>
      <c r="M105" s="14">
        <v>0</v>
      </c>
      <c r="N105" s="14">
        <v>11181946.3</v>
      </c>
      <c r="O105" s="14">
        <v>66544636.55</v>
      </c>
      <c r="P105" s="4"/>
      <c r="Q105" s="14">
        <v>0</v>
      </c>
      <c r="R105" s="14">
        <v>11918014.15</v>
      </c>
      <c r="S105" s="14">
        <v>67531492.7</v>
      </c>
    </row>
    <row r="106" spans="1:19" ht="12.75">
      <c r="A106" s="5">
        <f t="shared" si="12"/>
        <v>92</v>
      </c>
      <c r="B106" s="49" t="s">
        <v>68</v>
      </c>
      <c r="C106" s="4">
        <f t="shared" si="13"/>
        <v>54666.85</v>
      </c>
      <c r="D106" s="4">
        <f t="shared" si="9"/>
        <v>52467.1</v>
      </c>
      <c r="E106" s="4"/>
      <c r="F106" s="4"/>
      <c r="G106" s="4">
        <f t="shared" si="10"/>
        <v>53567</v>
      </c>
      <c r="H106" s="4"/>
      <c r="I106" s="4">
        <f t="shared" si="14"/>
        <v>0</v>
      </c>
      <c r="J106" s="4">
        <f t="shared" si="14"/>
        <v>0</v>
      </c>
      <c r="K106" s="4">
        <f t="shared" si="14"/>
        <v>53566.975</v>
      </c>
      <c r="L106" s="4"/>
      <c r="M106" s="14">
        <v>0</v>
      </c>
      <c r="N106" s="14">
        <v>0</v>
      </c>
      <c r="O106" s="14">
        <v>54666.85</v>
      </c>
      <c r="P106" s="4"/>
      <c r="Q106" s="14">
        <v>0</v>
      </c>
      <c r="R106" s="14">
        <v>0</v>
      </c>
      <c r="S106" s="14">
        <v>52467.1</v>
      </c>
    </row>
    <row r="107" spans="1:19" ht="12.75">
      <c r="A107" s="5">
        <f t="shared" si="12"/>
        <v>93</v>
      </c>
      <c r="B107" s="69" t="s">
        <v>67</v>
      </c>
      <c r="C107" s="4">
        <f t="shared" si="13"/>
        <v>-988530.2</v>
      </c>
      <c r="D107" s="4">
        <f t="shared" si="9"/>
        <v>-11104273.71</v>
      </c>
      <c r="E107" s="4"/>
      <c r="F107" s="4"/>
      <c r="G107" s="4">
        <f t="shared" si="10"/>
        <v>-6046402</v>
      </c>
      <c r="H107" s="4"/>
      <c r="I107" s="4">
        <f t="shared" si="14"/>
        <v>0</v>
      </c>
      <c r="J107" s="4">
        <f t="shared" si="14"/>
        <v>-473434.2949999999</v>
      </c>
      <c r="K107" s="4">
        <f t="shared" si="14"/>
        <v>-5572967.66</v>
      </c>
      <c r="L107" s="4"/>
      <c r="M107" s="14">
        <v>0</v>
      </c>
      <c r="N107" s="14">
        <v>164097.06</v>
      </c>
      <c r="O107" s="14">
        <v>-1152627.26</v>
      </c>
      <c r="P107" s="4"/>
      <c r="Q107" s="14">
        <v>0</v>
      </c>
      <c r="R107" s="14">
        <v>-1110965.65</v>
      </c>
      <c r="S107" s="14">
        <v>-9993308.06</v>
      </c>
    </row>
    <row r="108" spans="1:19" ht="12.75">
      <c r="A108" s="5">
        <f t="shared" si="12"/>
        <v>94</v>
      </c>
      <c r="B108" s="49" t="s">
        <v>547</v>
      </c>
      <c r="C108" s="4">
        <f t="shared" si="13"/>
        <v>0</v>
      </c>
      <c r="D108" s="4">
        <f t="shared" si="9"/>
        <v>2276327.2</v>
      </c>
      <c r="E108" s="4"/>
      <c r="F108" s="4"/>
      <c r="G108" s="4">
        <f t="shared" si="10"/>
        <v>1138164</v>
      </c>
      <c r="H108" s="4"/>
      <c r="I108" s="4">
        <f t="shared" si="14"/>
        <v>0</v>
      </c>
      <c r="J108" s="4">
        <f t="shared" si="14"/>
        <v>0</v>
      </c>
      <c r="K108" s="4">
        <f t="shared" si="14"/>
        <v>1138163.6</v>
      </c>
      <c r="L108" s="4"/>
      <c r="M108" s="14">
        <v>0</v>
      </c>
      <c r="N108" s="14">
        <v>0</v>
      </c>
      <c r="O108" s="14">
        <v>0</v>
      </c>
      <c r="P108" s="4"/>
      <c r="Q108" s="14">
        <v>0</v>
      </c>
      <c r="R108" s="14">
        <v>0</v>
      </c>
      <c r="S108" s="14">
        <v>2276327.2</v>
      </c>
    </row>
    <row r="109" spans="1:19" ht="12.75">
      <c r="A109" s="5">
        <f t="shared" si="12"/>
        <v>95</v>
      </c>
      <c r="B109" s="49" t="s">
        <v>548</v>
      </c>
      <c r="C109" s="4">
        <f t="shared" si="13"/>
        <v>5144390.65</v>
      </c>
      <c r="D109" s="4">
        <f t="shared" si="9"/>
        <v>8326319.4</v>
      </c>
      <c r="E109" s="4"/>
      <c r="F109" s="4"/>
      <c r="G109" s="4">
        <f>ROUND(SUM(C109:F109)/2,0)</f>
        <v>6735355</v>
      </c>
      <c r="H109" s="4"/>
      <c r="I109" s="4">
        <f t="shared" si="14"/>
        <v>0</v>
      </c>
      <c r="J109" s="4">
        <f t="shared" si="14"/>
        <v>0</v>
      </c>
      <c r="K109" s="4">
        <f t="shared" si="14"/>
        <v>6735355.025</v>
      </c>
      <c r="L109" s="4"/>
      <c r="M109" s="14">
        <v>0</v>
      </c>
      <c r="N109" s="14">
        <v>0</v>
      </c>
      <c r="O109" s="14">
        <v>5144390.65</v>
      </c>
      <c r="P109" s="4"/>
      <c r="Q109" s="14">
        <v>0</v>
      </c>
      <c r="R109" s="14">
        <v>0</v>
      </c>
      <c r="S109" s="14">
        <v>8326319.4</v>
      </c>
    </row>
    <row r="110" spans="1:19" ht="12.75">
      <c r="A110" s="5">
        <f t="shared" si="12"/>
        <v>96</v>
      </c>
      <c r="B110" s="49" t="s">
        <v>549</v>
      </c>
      <c r="C110" s="4">
        <f t="shared" si="13"/>
        <v>79534.35</v>
      </c>
      <c r="D110" s="4">
        <f t="shared" si="9"/>
        <v>-81541.25</v>
      </c>
      <c r="E110" s="4"/>
      <c r="F110" s="4"/>
      <c r="G110" s="4">
        <f>ROUND(SUM(C110:F110)/2,0)</f>
        <v>-1003</v>
      </c>
      <c r="H110" s="4"/>
      <c r="I110" s="4">
        <f t="shared" si="14"/>
        <v>0</v>
      </c>
      <c r="J110" s="4">
        <f t="shared" si="14"/>
        <v>0</v>
      </c>
      <c r="K110" s="4">
        <f t="shared" si="14"/>
        <v>-1003.4499999999971</v>
      </c>
      <c r="L110" s="4"/>
      <c r="M110" s="14">
        <v>0</v>
      </c>
      <c r="N110" s="14">
        <v>0</v>
      </c>
      <c r="O110" s="14">
        <v>79534.35</v>
      </c>
      <c r="P110" s="4"/>
      <c r="Q110" s="14">
        <v>0</v>
      </c>
      <c r="R110" s="14">
        <v>0</v>
      </c>
      <c r="S110" s="14">
        <v>-81541.25</v>
      </c>
    </row>
    <row r="111" spans="1:19" ht="12.75">
      <c r="A111" s="5">
        <f t="shared" si="12"/>
        <v>97</v>
      </c>
      <c r="B111" s="49" t="s">
        <v>550</v>
      </c>
      <c r="C111" s="4">
        <f t="shared" si="13"/>
        <v>-3530801.05</v>
      </c>
      <c r="D111" s="4">
        <f t="shared" si="9"/>
        <v>-2512449.1</v>
      </c>
      <c r="E111" s="4"/>
      <c r="F111" s="4"/>
      <c r="G111" s="4">
        <f>ROUND(SUM(C111:F111)/2,0)</f>
        <v>-3021625</v>
      </c>
      <c r="H111" s="4"/>
      <c r="I111" s="4">
        <f t="shared" si="14"/>
        <v>0</v>
      </c>
      <c r="J111" s="4">
        <f t="shared" si="14"/>
        <v>0</v>
      </c>
      <c r="K111" s="4">
        <f t="shared" si="14"/>
        <v>-3021625.075</v>
      </c>
      <c r="L111" s="4"/>
      <c r="M111" s="14">
        <v>0</v>
      </c>
      <c r="N111" s="14">
        <v>0</v>
      </c>
      <c r="O111" s="14">
        <v>-3530801.05</v>
      </c>
      <c r="P111" s="4"/>
      <c r="Q111" s="14">
        <v>0</v>
      </c>
      <c r="R111" s="14">
        <v>0</v>
      </c>
      <c r="S111" s="14">
        <v>-2512449.1</v>
      </c>
    </row>
    <row r="112" spans="1:19" ht="12.75">
      <c r="A112" s="5">
        <f t="shared" si="12"/>
        <v>98</v>
      </c>
      <c r="B112" s="49" t="s">
        <v>551</v>
      </c>
      <c r="C112" s="4">
        <f t="shared" si="13"/>
        <v>-135566.2</v>
      </c>
      <c r="D112" s="4">
        <f t="shared" si="9"/>
        <v>-170399.25</v>
      </c>
      <c r="E112" s="4"/>
      <c r="F112" s="4"/>
      <c r="G112" s="4">
        <f>ROUND(SUM(C112:F112)/2,0)</f>
        <v>-152983</v>
      </c>
      <c r="H112" s="4"/>
      <c r="I112" s="4">
        <f t="shared" si="14"/>
        <v>0</v>
      </c>
      <c r="J112" s="4">
        <f t="shared" si="14"/>
        <v>0</v>
      </c>
      <c r="K112" s="4">
        <f t="shared" si="14"/>
        <v>-152982.725</v>
      </c>
      <c r="L112" s="4"/>
      <c r="M112" s="14">
        <v>0</v>
      </c>
      <c r="N112" s="14">
        <v>0</v>
      </c>
      <c r="O112" s="14">
        <v>-135566.2</v>
      </c>
      <c r="P112" s="4"/>
      <c r="Q112" s="14">
        <v>0</v>
      </c>
      <c r="R112" s="14">
        <v>0</v>
      </c>
      <c r="S112" s="14">
        <v>-170399.25</v>
      </c>
    </row>
    <row r="113" spans="1:19" ht="12.75">
      <c r="A113" s="5">
        <f t="shared" si="12"/>
        <v>99</v>
      </c>
      <c r="B113" s="49" t="s">
        <v>552</v>
      </c>
      <c r="C113" s="4">
        <f t="shared" si="13"/>
        <v>0</v>
      </c>
      <c r="D113" s="4">
        <f t="shared" si="9"/>
        <v>0</v>
      </c>
      <c r="E113" s="4"/>
      <c r="F113" s="4"/>
      <c r="G113" s="4">
        <f>ROUND(SUM(C113:F113)/2,0)</f>
        <v>0</v>
      </c>
      <c r="H113" s="4"/>
      <c r="I113" s="4">
        <f t="shared" si="14"/>
        <v>0</v>
      </c>
      <c r="J113" s="4">
        <f t="shared" si="14"/>
        <v>0</v>
      </c>
      <c r="K113" s="4">
        <f t="shared" si="14"/>
        <v>0</v>
      </c>
      <c r="L113" s="4"/>
      <c r="M113" s="14">
        <v>0</v>
      </c>
      <c r="N113" s="14">
        <v>0</v>
      </c>
      <c r="O113" s="14">
        <v>0</v>
      </c>
      <c r="P113" s="4"/>
      <c r="Q113" s="14">
        <v>0</v>
      </c>
      <c r="R113" s="14">
        <v>0</v>
      </c>
      <c r="S113" s="14">
        <v>0</v>
      </c>
    </row>
    <row r="114" spans="1:19" ht="12.75">
      <c r="A114" s="5">
        <f t="shared" si="12"/>
        <v>100</v>
      </c>
      <c r="B114" s="49" t="s">
        <v>553</v>
      </c>
      <c r="C114" s="4">
        <f t="shared" si="13"/>
        <v>0</v>
      </c>
      <c r="D114" s="4">
        <f t="shared" si="9"/>
        <v>0</v>
      </c>
      <c r="E114" s="4"/>
      <c r="F114" s="4"/>
      <c r="G114" s="4">
        <f t="shared" si="10"/>
        <v>0</v>
      </c>
      <c r="H114" s="4"/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/>
      <c r="M114" s="14">
        <v>0</v>
      </c>
      <c r="N114" s="14">
        <v>0</v>
      </c>
      <c r="O114" s="14">
        <v>0</v>
      </c>
      <c r="P114" s="4"/>
      <c r="Q114" s="14">
        <v>0</v>
      </c>
      <c r="R114" s="14">
        <v>0</v>
      </c>
      <c r="S114" s="14">
        <v>0</v>
      </c>
    </row>
    <row r="115" spans="1:19" ht="12.75">
      <c r="A115" s="5">
        <f t="shared" si="12"/>
        <v>101</v>
      </c>
      <c r="B115" s="49" t="s">
        <v>554</v>
      </c>
      <c r="C115" s="4">
        <f t="shared" si="13"/>
        <v>0</v>
      </c>
      <c r="D115" s="4">
        <f t="shared" si="9"/>
        <v>1445196.07</v>
      </c>
      <c r="E115" s="4"/>
      <c r="F115" s="4"/>
      <c r="G115" s="4">
        <f t="shared" si="10"/>
        <v>722598</v>
      </c>
      <c r="H115" s="4"/>
      <c r="I115" s="4">
        <f t="shared" si="14"/>
        <v>0</v>
      </c>
      <c r="J115" s="4">
        <f t="shared" si="14"/>
        <v>0</v>
      </c>
      <c r="K115" s="4">
        <f t="shared" si="14"/>
        <v>722598.035</v>
      </c>
      <c r="L115" s="4"/>
      <c r="M115" s="14">
        <v>0</v>
      </c>
      <c r="N115" s="14">
        <v>0</v>
      </c>
      <c r="O115" s="14">
        <v>0</v>
      </c>
      <c r="P115" s="4"/>
      <c r="Q115" s="14">
        <v>0</v>
      </c>
      <c r="R115" s="14">
        <v>0</v>
      </c>
      <c r="S115" s="14">
        <v>1445196.07</v>
      </c>
    </row>
    <row r="116" spans="1:19" ht="12.75">
      <c r="A116" s="5">
        <f t="shared" si="12"/>
        <v>102</v>
      </c>
      <c r="B116" s="49" t="s">
        <v>555</v>
      </c>
      <c r="C116" s="4">
        <f t="shared" si="13"/>
        <v>0</v>
      </c>
      <c r="D116" s="4">
        <f t="shared" si="9"/>
        <v>0</v>
      </c>
      <c r="E116" s="4"/>
      <c r="F116" s="4"/>
      <c r="G116" s="4">
        <f t="shared" si="10"/>
        <v>0</v>
      </c>
      <c r="H116" s="4"/>
      <c r="I116" s="4">
        <f t="shared" si="14"/>
        <v>0</v>
      </c>
      <c r="J116" s="4">
        <f t="shared" si="14"/>
        <v>0</v>
      </c>
      <c r="K116" s="4">
        <f t="shared" si="14"/>
        <v>0</v>
      </c>
      <c r="L116" s="4"/>
      <c r="M116" s="14">
        <v>0</v>
      </c>
      <c r="N116" s="14">
        <v>0</v>
      </c>
      <c r="O116" s="14">
        <v>0</v>
      </c>
      <c r="P116" s="4"/>
      <c r="Q116" s="14">
        <v>0</v>
      </c>
      <c r="R116" s="14">
        <v>0</v>
      </c>
      <c r="S116" s="14">
        <v>0</v>
      </c>
    </row>
    <row r="117" spans="1:19" ht="12.75">
      <c r="A117" s="5">
        <f t="shared" si="12"/>
        <v>103</v>
      </c>
      <c r="B117" s="49" t="s">
        <v>556</v>
      </c>
      <c r="C117" s="4">
        <f t="shared" si="13"/>
        <v>0</v>
      </c>
      <c r="D117" s="4">
        <f t="shared" si="9"/>
        <v>0</v>
      </c>
      <c r="E117" s="4"/>
      <c r="F117" s="4"/>
      <c r="G117" s="4">
        <f t="shared" si="10"/>
        <v>0</v>
      </c>
      <c r="H117" s="4"/>
      <c r="I117" s="4">
        <f t="shared" si="14"/>
        <v>0</v>
      </c>
      <c r="J117" s="4">
        <f t="shared" si="14"/>
        <v>0</v>
      </c>
      <c r="K117" s="4">
        <f t="shared" si="14"/>
        <v>0</v>
      </c>
      <c r="L117" s="4"/>
      <c r="M117" s="14">
        <v>0</v>
      </c>
      <c r="N117" s="14">
        <v>0</v>
      </c>
      <c r="O117" s="14">
        <v>0</v>
      </c>
      <c r="P117" s="4"/>
      <c r="Q117" s="14">
        <v>0</v>
      </c>
      <c r="R117" s="14">
        <v>0</v>
      </c>
      <c r="S117" s="14">
        <v>0</v>
      </c>
    </row>
    <row r="118" spans="1:19" ht="12.75">
      <c r="A118" s="5">
        <f t="shared" si="12"/>
        <v>104</v>
      </c>
      <c r="B118" s="69" t="s">
        <v>557</v>
      </c>
      <c r="C118" s="4">
        <f t="shared" si="13"/>
        <v>0</v>
      </c>
      <c r="D118" s="4">
        <f t="shared" si="9"/>
        <v>0</v>
      </c>
      <c r="E118" s="4"/>
      <c r="F118" s="4"/>
      <c r="G118" s="4">
        <f t="shared" si="10"/>
        <v>0</v>
      </c>
      <c r="H118" s="4"/>
      <c r="I118" s="4">
        <f t="shared" si="14"/>
        <v>0</v>
      </c>
      <c r="J118" s="4">
        <f t="shared" si="14"/>
        <v>0</v>
      </c>
      <c r="K118" s="4">
        <f t="shared" si="14"/>
        <v>0</v>
      </c>
      <c r="L118" s="4"/>
      <c r="M118" s="14">
        <v>0</v>
      </c>
      <c r="N118" s="14">
        <v>0</v>
      </c>
      <c r="O118" s="14">
        <v>0</v>
      </c>
      <c r="P118" s="4"/>
      <c r="Q118" s="14">
        <v>0</v>
      </c>
      <c r="R118" s="14">
        <v>0</v>
      </c>
      <c r="S118" s="14">
        <v>0</v>
      </c>
    </row>
    <row r="119" spans="1:19" ht="12.75">
      <c r="A119" s="5">
        <f t="shared" si="12"/>
        <v>105</v>
      </c>
      <c r="B119" s="69" t="s">
        <v>558</v>
      </c>
      <c r="C119" s="4">
        <f t="shared" si="13"/>
        <v>0</v>
      </c>
      <c r="D119" s="4">
        <f t="shared" si="9"/>
        <v>0</v>
      </c>
      <c r="E119" s="4"/>
      <c r="F119" s="4"/>
      <c r="G119" s="4">
        <f t="shared" si="10"/>
        <v>0</v>
      </c>
      <c r="H119" s="4"/>
      <c r="I119" s="4">
        <f t="shared" si="14"/>
        <v>0</v>
      </c>
      <c r="J119" s="4">
        <f t="shared" si="14"/>
        <v>0</v>
      </c>
      <c r="K119" s="4">
        <f t="shared" si="14"/>
        <v>0</v>
      </c>
      <c r="L119" s="4"/>
      <c r="M119" s="14">
        <v>0</v>
      </c>
      <c r="N119" s="14">
        <v>0</v>
      </c>
      <c r="O119" s="14">
        <v>0</v>
      </c>
      <c r="P119" s="4"/>
      <c r="Q119" s="14">
        <v>0</v>
      </c>
      <c r="R119" s="14">
        <v>0</v>
      </c>
      <c r="S119" s="14">
        <v>0</v>
      </c>
    </row>
    <row r="120" spans="1:19" ht="12.75">
      <c r="A120" s="5">
        <f t="shared" si="12"/>
        <v>106</v>
      </c>
      <c r="B120" s="69" t="s">
        <v>559</v>
      </c>
      <c r="C120" s="4">
        <f t="shared" si="13"/>
        <v>0</v>
      </c>
      <c r="D120" s="4">
        <f t="shared" si="9"/>
        <v>0</v>
      </c>
      <c r="E120" s="4"/>
      <c r="F120" s="4"/>
      <c r="G120" s="4">
        <f t="shared" si="10"/>
        <v>0</v>
      </c>
      <c r="H120" s="4"/>
      <c r="I120" s="4">
        <f t="shared" si="14"/>
        <v>0</v>
      </c>
      <c r="J120" s="4">
        <f t="shared" si="14"/>
        <v>0</v>
      </c>
      <c r="K120" s="4">
        <f t="shared" si="14"/>
        <v>0</v>
      </c>
      <c r="L120" s="4"/>
      <c r="M120" s="14">
        <v>0</v>
      </c>
      <c r="N120" s="14">
        <v>0</v>
      </c>
      <c r="O120" s="14">
        <v>0</v>
      </c>
      <c r="P120" s="4"/>
      <c r="Q120" s="14">
        <v>0</v>
      </c>
      <c r="R120" s="14">
        <v>0</v>
      </c>
      <c r="S120" s="14">
        <v>0</v>
      </c>
    </row>
    <row r="121" spans="1:19" ht="12.75">
      <c r="A121" s="5">
        <f t="shared" si="12"/>
        <v>107</v>
      </c>
      <c r="B121" s="69" t="s">
        <v>560</v>
      </c>
      <c r="C121" s="4">
        <f t="shared" si="13"/>
        <v>845833.31</v>
      </c>
      <c r="D121" s="4">
        <f t="shared" si="9"/>
        <v>145121.96</v>
      </c>
      <c r="E121" s="4"/>
      <c r="F121" s="4"/>
      <c r="G121" s="4">
        <f t="shared" si="10"/>
        <v>495478</v>
      </c>
      <c r="H121" s="4"/>
      <c r="I121" s="4">
        <f t="shared" si="14"/>
        <v>0</v>
      </c>
      <c r="J121" s="4">
        <f t="shared" si="14"/>
        <v>0</v>
      </c>
      <c r="K121" s="4">
        <f t="shared" si="14"/>
        <v>495477.635</v>
      </c>
      <c r="L121" s="4"/>
      <c r="M121" s="14">
        <v>0</v>
      </c>
      <c r="N121" s="14">
        <v>0</v>
      </c>
      <c r="O121" s="14">
        <v>845833.31</v>
      </c>
      <c r="P121" s="4"/>
      <c r="Q121" s="14">
        <v>0</v>
      </c>
      <c r="R121" s="14">
        <v>0</v>
      </c>
      <c r="S121" s="14">
        <v>145121.96</v>
      </c>
    </row>
    <row r="122" spans="1:19" ht="12.75">
      <c r="A122" s="5">
        <f t="shared" si="12"/>
        <v>108</v>
      </c>
      <c r="B122" s="69" t="s">
        <v>561</v>
      </c>
      <c r="C122" s="4">
        <f t="shared" si="13"/>
        <v>114691627.94</v>
      </c>
      <c r="D122" s="4">
        <f t="shared" si="9"/>
        <v>137605895.73</v>
      </c>
      <c r="E122" s="4"/>
      <c r="F122" s="4"/>
      <c r="G122" s="4">
        <f t="shared" si="10"/>
        <v>126148762</v>
      </c>
      <c r="H122" s="4"/>
      <c r="I122" s="4">
        <f t="shared" si="14"/>
        <v>0</v>
      </c>
      <c r="J122" s="4">
        <f t="shared" si="14"/>
        <v>0</v>
      </c>
      <c r="K122" s="4">
        <f t="shared" si="14"/>
        <v>126148761.835</v>
      </c>
      <c r="L122" s="4"/>
      <c r="M122" s="14">
        <v>0</v>
      </c>
      <c r="N122" s="14">
        <v>0</v>
      </c>
      <c r="O122" s="14">
        <v>114691627.94</v>
      </c>
      <c r="P122" s="4"/>
      <c r="Q122" s="14">
        <v>0</v>
      </c>
      <c r="R122" s="14">
        <v>0</v>
      </c>
      <c r="S122" s="14">
        <v>137605895.73</v>
      </c>
    </row>
    <row r="123" spans="1:19" ht="12.75">
      <c r="A123" s="5">
        <f t="shared" si="12"/>
        <v>109</v>
      </c>
      <c r="B123" s="69" t="s">
        <v>562</v>
      </c>
      <c r="C123" s="4">
        <f t="shared" si="13"/>
        <v>10850959.36</v>
      </c>
      <c r="D123" s="4">
        <f t="shared" si="9"/>
        <v>10136250.15</v>
      </c>
      <c r="E123" s="4"/>
      <c r="F123" s="4"/>
      <c r="G123" s="4">
        <f t="shared" si="10"/>
        <v>10493605</v>
      </c>
      <c r="H123" s="4"/>
      <c r="I123" s="4">
        <f t="shared" si="14"/>
        <v>0</v>
      </c>
      <c r="J123" s="4">
        <f t="shared" si="14"/>
        <v>0</v>
      </c>
      <c r="K123" s="4">
        <f t="shared" si="14"/>
        <v>10493604.754999999</v>
      </c>
      <c r="L123" s="4"/>
      <c r="M123" s="14">
        <v>0</v>
      </c>
      <c r="N123" s="14">
        <v>0</v>
      </c>
      <c r="O123" s="14">
        <v>10850959.36</v>
      </c>
      <c r="P123" s="4"/>
      <c r="Q123" s="14">
        <v>0</v>
      </c>
      <c r="R123" s="14">
        <v>0</v>
      </c>
      <c r="S123" s="14">
        <v>10136250.15</v>
      </c>
    </row>
    <row r="124" spans="1:19" ht="12.75">
      <c r="A124" s="5">
        <f t="shared" si="12"/>
        <v>110</v>
      </c>
      <c r="B124" s="69" t="s">
        <v>563</v>
      </c>
      <c r="C124" s="4">
        <f t="shared" si="13"/>
        <v>4306812.49</v>
      </c>
      <c r="D124" s="4">
        <f t="shared" si="9"/>
        <v>4724593.56</v>
      </c>
      <c r="E124" s="4"/>
      <c r="F124" s="4"/>
      <c r="G124" s="4">
        <f t="shared" si="10"/>
        <v>4515703</v>
      </c>
      <c r="H124" s="4"/>
      <c r="I124" s="4">
        <f t="shared" si="14"/>
        <v>0</v>
      </c>
      <c r="J124" s="4">
        <f t="shared" si="14"/>
        <v>0</v>
      </c>
      <c r="K124" s="4">
        <f t="shared" si="14"/>
        <v>4515703.025</v>
      </c>
      <c r="L124" s="4"/>
      <c r="M124" s="14">
        <v>0</v>
      </c>
      <c r="N124" s="14">
        <v>0</v>
      </c>
      <c r="O124" s="14">
        <v>4306812.49</v>
      </c>
      <c r="P124" s="4"/>
      <c r="Q124" s="14">
        <v>0</v>
      </c>
      <c r="R124" s="14">
        <v>0</v>
      </c>
      <c r="S124" s="14">
        <v>4724593.56</v>
      </c>
    </row>
    <row r="125" spans="1:19" ht="12.75">
      <c r="A125" s="5">
        <f t="shared" si="12"/>
        <v>111</v>
      </c>
      <c r="B125" s="69" t="s">
        <v>564</v>
      </c>
      <c r="C125" s="4">
        <f t="shared" si="13"/>
        <v>8148856.87</v>
      </c>
      <c r="D125" s="4">
        <f t="shared" si="9"/>
        <v>7515303.85</v>
      </c>
      <c r="E125" s="4"/>
      <c r="F125" s="4"/>
      <c r="G125" s="4">
        <f t="shared" si="10"/>
        <v>7832080</v>
      </c>
      <c r="H125" s="4"/>
      <c r="I125" s="4">
        <f t="shared" si="14"/>
        <v>0</v>
      </c>
      <c r="J125" s="4">
        <f t="shared" si="14"/>
        <v>0</v>
      </c>
      <c r="K125" s="4">
        <f t="shared" si="14"/>
        <v>7832080.359999999</v>
      </c>
      <c r="L125" s="4"/>
      <c r="M125" s="14">
        <v>0</v>
      </c>
      <c r="N125" s="14">
        <v>0</v>
      </c>
      <c r="O125" s="14">
        <v>8148856.87</v>
      </c>
      <c r="P125" s="4"/>
      <c r="Q125" s="14">
        <v>0</v>
      </c>
      <c r="R125" s="14">
        <v>0</v>
      </c>
      <c r="S125" s="14">
        <v>7515303.85</v>
      </c>
    </row>
    <row r="126" spans="1:19" ht="12.75">
      <c r="A126" s="5">
        <f t="shared" si="12"/>
        <v>112</v>
      </c>
      <c r="B126" s="69" t="s">
        <v>565</v>
      </c>
      <c r="C126" s="4">
        <f t="shared" si="13"/>
        <v>0.01</v>
      </c>
      <c r="D126" s="4">
        <f t="shared" si="9"/>
        <v>-1269025.82</v>
      </c>
      <c r="E126" s="4"/>
      <c r="F126" s="4"/>
      <c r="G126" s="4">
        <f t="shared" si="10"/>
        <v>-634513</v>
      </c>
      <c r="H126" s="4"/>
      <c r="I126" s="4">
        <f t="shared" si="14"/>
        <v>0</v>
      </c>
      <c r="J126" s="4">
        <f t="shared" si="14"/>
        <v>0</v>
      </c>
      <c r="K126" s="4">
        <f t="shared" si="14"/>
        <v>-634512.905</v>
      </c>
      <c r="L126" s="4"/>
      <c r="M126" s="14">
        <v>0</v>
      </c>
      <c r="N126" s="14">
        <v>0</v>
      </c>
      <c r="O126" s="14">
        <v>0.01</v>
      </c>
      <c r="P126" s="4"/>
      <c r="Q126" s="14">
        <v>0</v>
      </c>
      <c r="R126" s="14">
        <v>0</v>
      </c>
      <c r="S126" s="14">
        <v>-1269025.82</v>
      </c>
    </row>
    <row r="127" spans="1:19" ht="12.75">
      <c r="A127" s="5">
        <f t="shared" si="12"/>
        <v>113</v>
      </c>
      <c r="B127" s="69" t="s">
        <v>566</v>
      </c>
      <c r="C127" s="4">
        <f t="shared" si="13"/>
        <v>0</v>
      </c>
      <c r="D127" s="4">
        <f t="shared" si="9"/>
        <v>3669104.78</v>
      </c>
      <c r="E127" s="4"/>
      <c r="F127" s="4"/>
      <c r="G127" s="4">
        <f t="shared" si="10"/>
        <v>1834552</v>
      </c>
      <c r="H127" s="4"/>
      <c r="I127" s="4">
        <f t="shared" si="14"/>
        <v>0</v>
      </c>
      <c r="J127" s="4">
        <f t="shared" si="14"/>
        <v>0</v>
      </c>
      <c r="K127" s="4">
        <f t="shared" si="14"/>
        <v>1834552.39</v>
      </c>
      <c r="L127" s="4"/>
      <c r="M127" s="14">
        <v>0</v>
      </c>
      <c r="N127" s="14">
        <v>0</v>
      </c>
      <c r="O127" s="14">
        <v>0</v>
      </c>
      <c r="P127" s="4"/>
      <c r="Q127" s="14">
        <v>0</v>
      </c>
      <c r="R127" s="14">
        <v>0</v>
      </c>
      <c r="S127" s="14">
        <v>3669104.78</v>
      </c>
    </row>
    <row r="128" spans="1:19" ht="12.75">
      <c r="A128" s="5">
        <f t="shared" si="12"/>
        <v>114</v>
      </c>
      <c r="B128" s="49" t="s">
        <v>567</v>
      </c>
      <c r="C128" s="4">
        <f t="shared" si="13"/>
        <v>0</v>
      </c>
      <c r="D128" s="4">
        <f t="shared" si="9"/>
        <v>527666.65</v>
      </c>
      <c r="E128" s="4"/>
      <c r="F128" s="4"/>
      <c r="G128" s="4">
        <f>ROUND(SUM(C128:F128)/2,0)</f>
        <v>263833</v>
      </c>
      <c r="H128" s="4"/>
      <c r="I128" s="4">
        <f t="shared" si="14"/>
        <v>0</v>
      </c>
      <c r="J128" s="4">
        <f t="shared" si="14"/>
        <v>0</v>
      </c>
      <c r="K128" s="4">
        <f t="shared" si="14"/>
        <v>263833.325</v>
      </c>
      <c r="L128" s="4"/>
      <c r="M128" s="14">
        <v>0</v>
      </c>
      <c r="N128" s="14">
        <v>0</v>
      </c>
      <c r="O128" s="14">
        <v>0</v>
      </c>
      <c r="P128" s="4"/>
      <c r="Q128" s="14">
        <v>0</v>
      </c>
      <c r="R128" s="14">
        <v>0</v>
      </c>
      <c r="S128" s="14">
        <v>527666.65</v>
      </c>
    </row>
    <row r="129" spans="1:19" ht="12.75">
      <c r="A129" s="5">
        <f t="shared" si="12"/>
        <v>115</v>
      </c>
      <c r="B129" s="69" t="s">
        <v>568</v>
      </c>
      <c r="C129" s="4">
        <f t="shared" si="13"/>
        <v>120915.26</v>
      </c>
      <c r="D129" s="4">
        <f t="shared" si="9"/>
        <v>87637.75</v>
      </c>
      <c r="E129" s="4"/>
      <c r="F129" s="4"/>
      <c r="G129" s="4">
        <f t="shared" si="10"/>
        <v>104277</v>
      </c>
      <c r="H129" s="4"/>
      <c r="I129" s="4">
        <f t="shared" si="14"/>
        <v>0</v>
      </c>
      <c r="J129" s="4">
        <f t="shared" si="14"/>
        <v>0</v>
      </c>
      <c r="K129" s="4">
        <f t="shared" si="14"/>
        <v>104276.505</v>
      </c>
      <c r="L129" s="4"/>
      <c r="M129" s="14">
        <v>0</v>
      </c>
      <c r="N129" s="14">
        <v>0</v>
      </c>
      <c r="O129" s="14">
        <v>120915.26</v>
      </c>
      <c r="P129" s="4"/>
      <c r="Q129" s="14">
        <v>0</v>
      </c>
      <c r="R129" s="14">
        <v>0</v>
      </c>
      <c r="S129" s="14">
        <v>87637.75</v>
      </c>
    </row>
    <row r="130" spans="1:19" ht="12.75">
      <c r="A130" s="5">
        <f t="shared" si="12"/>
        <v>116</v>
      </c>
      <c r="B130" s="69" t="s">
        <v>569</v>
      </c>
      <c r="C130" s="4">
        <f t="shared" si="13"/>
        <v>146371.46</v>
      </c>
      <c r="D130" s="4">
        <f t="shared" si="9"/>
        <v>166532.2</v>
      </c>
      <c r="E130" s="4"/>
      <c r="F130" s="4"/>
      <c r="G130" s="4">
        <f t="shared" si="10"/>
        <v>156452</v>
      </c>
      <c r="H130" s="4"/>
      <c r="I130" s="4">
        <f t="shared" si="14"/>
        <v>0</v>
      </c>
      <c r="J130" s="4">
        <f t="shared" si="14"/>
        <v>0</v>
      </c>
      <c r="K130" s="4">
        <f t="shared" si="14"/>
        <v>156451.83000000002</v>
      </c>
      <c r="L130" s="4"/>
      <c r="M130" s="14">
        <v>0</v>
      </c>
      <c r="N130" s="14">
        <v>0</v>
      </c>
      <c r="O130" s="14">
        <v>146371.46</v>
      </c>
      <c r="P130" s="4"/>
      <c r="Q130" s="14">
        <v>0</v>
      </c>
      <c r="R130" s="14">
        <v>0</v>
      </c>
      <c r="S130" s="14">
        <v>166532.2</v>
      </c>
    </row>
    <row r="131" spans="1:19" ht="12.75">
      <c r="A131" s="5">
        <f t="shared" si="12"/>
        <v>117</v>
      </c>
      <c r="B131" s="69" t="s">
        <v>570</v>
      </c>
      <c r="C131" s="4">
        <f t="shared" si="13"/>
        <v>4710555.72</v>
      </c>
      <c r="D131" s="4">
        <f aca="true" t="shared" si="15" ref="D131:D142">SUM(Q131:S131)</f>
        <v>4504526.04</v>
      </c>
      <c r="E131" s="4"/>
      <c r="F131" s="4"/>
      <c r="G131" s="4">
        <f>ROUND(SUM(C131:F131)/2,0)</f>
        <v>4607541</v>
      </c>
      <c r="H131" s="4"/>
      <c r="I131" s="4">
        <f t="shared" si="14"/>
        <v>0</v>
      </c>
      <c r="J131" s="4">
        <f t="shared" si="14"/>
        <v>0</v>
      </c>
      <c r="K131" s="4">
        <f t="shared" si="14"/>
        <v>4607540.88</v>
      </c>
      <c r="L131" s="4"/>
      <c r="M131" s="14">
        <v>0</v>
      </c>
      <c r="N131" s="14">
        <v>0</v>
      </c>
      <c r="O131" s="14">
        <v>4710555.72</v>
      </c>
      <c r="P131" s="4"/>
      <c r="Q131" s="14">
        <v>0</v>
      </c>
      <c r="R131" s="14">
        <v>0</v>
      </c>
      <c r="S131" s="14">
        <v>4504526.04</v>
      </c>
    </row>
    <row r="132" spans="1:19" ht="12.75">
      <c r="A132" s="5">
        <f t="shared" si="12"/>
        <v>118</v>
      </c>
      <c r="B132" s="69" t="s">
        <v>571</v>
      </c>
      <c r="C132" s="4">
        <f>SUM(M132:O132)</f>
        <v>443595.6</v>
      </c>
      <c r="D132" s="4">
        <f t="shared" si="15"/>
        <v>0</v>
      </c>
      <c r="E132" s="4"/>
      <c r="F132" s="4"/>
      <c r="G132" s="4">
        <f>ROUND(SUM(C132:F132)/2,0)</f>
        <v>221798</v>
      </c>
      <c r="H132" s="4"/>
      <c r="I132" s="4">
        <f aca="true" t="shared" si="16" ref="I132:K142">(M132+Q132)/2</f>
        <v>0</v>
      </c>
      <c r="J132" s="4">
        <f t="shared" si="16"/>
        <v>0</v>
      </c>
      <c r="K132" s="4">
        <f t="shared" si="16"/>
        <v>221797.8</v>
      </c>
      <c r="L132" s="4"/>
      <c r="M132" s="14">
        <v>0</v>
      </c>
      <c r="N132" s="14">
        <v>0</v>
      </c>
      <c r="O132" s="14">
        <v>443595.6</v>
      </c>
      <c r="P132" s="4"/>
      <c r="Q132" s="14">
        <v>0</v>
      </c>
      <c r="R132" s="14">
        <v>0</v>
      </c>
      <c r="S132" s="14">
        <v>0</v>
      </c>
    </row>
    <row r="133" spans="1:19" ht="12.75">
      <c r="A133" s="5">
        <f t="shared" si="12"/>
        <v>119</v>
      </c>
      <c r="B133" s="69" t="s">
        <v>23</v>
      </c>
      <c r="C133" s="4">
        <f aca="true" t="shared" si="17" ref="C133:C142">SUM(M133:O133)</f>
        <v>5288220.12</v>
      </c>
      <c r="D133" s="4">
        <f t="shared" si="15"/>
        <v>4290400.22</v>
      </c>
      <c r="E133" s="4"/>
      <c r="F133" s="4"/>
      <c r="G133" s="4">
        <f>ROUND(SUM(C133:F133)/2,0)</f>
        <v>4789310</v>
      </c>
      <c r="H133" s="4"/>
      <c r="I133" s="4">
        <f t="shared" si="16"/>
        <v>0</v>
      </c>
      <c r="J133" s="4">
        <f t="shared" si="16"/>
        <v>599664.76</v>
      </c>
      <c r="K133" s="4">
        <f t="shared" si="16"/>
        <v>4189645.41</v>
      </c>
      <c r="L133" s="4"/>
      <c r="M133" s="14">
        <v>0</v>
      </c>
      <c r="N133" s="14">
        <v>587155.76</v>
      </c>
      <c r="O133" s="14">
        <v>4701064.36</v>
      </c>
      <c r="P133" s="4"/>
      <c r="Q133" s="14">
        <v>0</v>
      </c>
      <c r="R133" s="14">
        <v>612173.76</v>
      </c>
      <c r="S133" s="14">
        <v>3678226.46</v>
      </c>
    </row>
    <row r="134" spans="1:19" ht="12.75">
      <c r="A134" s="5">
        <f t="shared" si="12"/>
        <v>120</v>
      </c>
      <c r="B134" s="38" t="s">
        <v>22</v>
      </c>
      <c r="C134" s="4">
        <f t="shared" si="17"/>
        <v>21164293.669999998</v>
      </c>
      <c r="D134" s="4">
        <f t="shared" si="15"/>
        <v>17384465.62</v>
      </c>
      <c r="E134" s="4"/>
      <c r="F134" s="4"/>
      <c r="G134" s="4">
        <f aca="true" t="shared" si="18" ref="G134:G148">ROUND(SUM(C134:F134)/2,0)</f>
        <v>19274380</v>
      </c>
      <c r="H134" s="4"/>
      <c r="I134" s="4">
        <f t="shared" si="16"/>
        <v>0</v>
      </c>
      <c r="J134" s="4">
        <f t="shared" si="16"/>
        <v>4896453.55</v>
      </c>
      <c r="K134" s="4">
        <f t="shared" si="16"/>
        <v>14377926.094999999</v>
      </c>
      <c r="L134" s="4"/>
      <c r="M134" s="14">
        <v>0</v>
      </c>
      <c r="N134" s="14">
        <v>4694237.06</v>
      </c>
      <c r="O134" s="14">
        <v>16470056.61</v>
      </c>
      <c r="P134" s="4"/>
      <c r="Q134" s="14">
        <v>0</v>
      </c>
      <c r="R134" s="14">
        <v>5098670.04</v>
      </c>
      <c r="S134" s="14">
        <v>12285795.58</v>
      </c>
    </row>
    <row r="135" spans="1:19" ht="12.75">
      <c r="A135" s="5">
        <f t="shared" si="12"/>
        <v>121</v>
      </c>
      <c r="B135" s="38" t="s">
        <v>21</v>
      </c>
      <c r="C135" s="4">
        <f t="shared" si="17"/>
        <v>3634081.46</v>
      </c>
      <c r="D135" s="4">
        <f t="shared" si="15"/>
        <v>4093053.81</v>
      </c>
      <c r="E135" s="4"/>
      <c r="F135" s="4"/>
      <c r="G135" s="4">
        <f t="shared" si="18"/>
        <v>3863568</v>
      </c>
      <c r="H135" s="4"/>
      <c r="I135" s="4">
        <f t="shared" si="16"/>
        <v>0</v>
      </c>
      <c r="J135" s="4">
        <f t="shared" si="16"/>
        <v>560887.2050000001</v>
      </c>
      <c r="K135" s="4">
        <f t="shared" si="16"/>
        <v>3302680.43</v>
      </c>
      <c r="L135" s="4"/>
      <c r="M135" s="14">
        <v>0</v>
      </c>
      <c r="N135" s="14">
        <v>532590.05</v>
      </c>
      <c r="O135" s="14">
        <v>3101491.41</v>
      </c>
      <c r="P135" s="4"/>
      <c r="Q135" s="14">
        <v>0</v>
      </c>
      <c r="R135" s="14">
        <v>589184.36</v>
      </c>
      <c r="S135" s="14">
        <v>3503869.45</v>
      </c>
    </row>
    <row r="136" spans="1:19" ht="12.75">
      <c r="A136" s="5">
        <f t="shared" si="12"/>
        <v>122</v>
      </c>
      <c r="B136" s="38" t="s">
        <v>20</v>
      </c>
      <c r="C136" s="4">
        <f t="shared" si="17"/>
        <v>0</v>
      </c>
      <c r="D136" s="4">
        <f t="shared" si="15"/>
        <v>0</v>
      </c>
      <c r="E136" s="4"/>
      <c r="F136" s="4"/>
      <c r="G136" s="4">
        <f t="shared" si="18"/>
        <v>0</v>
      </c>
      <c r="H136" s="4"/>
      <c r="I136" s="4">
        <f t="shared" si="16"/>
        <v>0</v>
      </c>
      <c r="J136" s="4">
        <f t="shared" si="16"/>
        <v>0</v>
      </c>
      <c r="K136" s="4">
        <f t="shared" si="16"/>
        <v>0</v>
      </c>
      <c r="L136" s="4"/>
      <c r="M136" s="14">
        <v>0</v>
      </c>
      <c r="N136" s="14">
        <v>0</v>
      </c>
      <c r="O136" s="14">
        <v>0</v>
      </c>
      <c r="P136" s="4"/>
      <c r="Q136" s="14">
        <v>0</v>
      </c>
      <c r="R136" s="14">
        <v>0</v>
      </c>
      <c r="S136" s="14">
        <v>0</v>
      </c>
    </row>
    <row r="137" spans="1:19" ht="12.75">
      <c r="A137" s="5">
        <f t="shared" si="12"/>
        <v>123</v>
      </c>
      <c r="B137" s="69" t="s">
        <v>393</v>
      </c>
      <c r="C137" s="4">
        <f t="shared" si="17"/>
        <v>-7737609.31</v>
      </c>
      <c r="D137" s="4">
        <f t="shared" si="15"/>
        <v>-7737609.31</v>
      </c>
      <c r="E137" s="4"/>
      <c r="F137" s="4"/>
      <c r="G137" s="4">
        <f t="shared" si="18"/>
        <v>-7737609</v>
      </c>
      <c r="H137" s="4"/>
      <c r="I137" s="4">
        <f t="shared" si="16"/>
        <v>0</v>
      </c>
      <c r="J137" s="4">
        <f t="shared" si="16"/>
        <v>-948370.01</v>
      </c>
      <c r="K137" s="4">
        <f t="shared" si="16"/>
        <v>-6789239.3</v>
      </c>
      <c r="L137" s="4"/>
      <c r="M137" s="14">
        <v>0</v>
      </c>
      <c r="N137" s="14">
        <v>-948370.01</v>
      </c>
      <c r="O137" s="14">
        <v>-6789239.3</v>
      </c>
      <c r="P137" s="4"/>
      <c r="Q137" s="14">
        <v>0</v>
      </c>
      <c r="R137" s="14">
        <v>-948370.01</v>
      </c>
      <c r="S137" s="14">
        <v>-6789239.3</v>
      </c>
    </row>
    <row r="138" spans="1:19" ht="12.75">
      <c r="A138" s="5">
        <f t="shared" si="12"/>
        <v>124</v>
      </c>
      <c r="B138" s="38" t="s">
        <v>572</v>
      </c>
      <c r="C138" s="4">
        <f t="shared" si="17"/>
        <v>0</v>
      </c>
      <c r="D138" s="4">
        <f t="shared" si="15"/>
        <v>0</v>
      </c>
      <c r="E138" s="4"/>
      <c r="F138" s="4"/>
      <c r="G138" s="4">
        <f t="shared" si="18"/>
        <v>0</v>
      </c>
      <c r="H138" s="4"/>
      <c r="I138" s="4">
        <f t="shared" si="16"/>
        <v>0</v>
      </c>
      <c r="J138" s="4">
        <f t="shared" si="16"/>
        <v>0</v>
      </c>
      <c r="K138" s="4">
        <f t="shared" si="16"/>
        <v>0</v>
      </c>
      <c r="L138" s="4"/>
      <c r="M138" s="14">
        <v>0</v>
      </c>
      <c r="N138" s="14">
        <v>0</v>
      </c>
      <c r="O138" s="14">
        <v>0</v>
      </c>
      <c r="P138" s="4"/>
      <c r="Q138" s="14">
        <v>0</v>
      </c>
      <c r="R138" s="14">
        <v>0</v>
      </c>
      <c r="S138" s="14">
        <v>0</v>
      </c>
    </row>
    <row r="139" spans="1:19" ht="12.75">
      <c r="A139" s="5">
        <f t="shared" si="12"/>
        <v>125</v>
      </c>
      <c r="B139" s="38" t="s">
        <v>573</v>
      </c>
      <c r="C139" s="4">
        <f t="shared" si="17"/>
        <v>0</v>
      </c>
      <c r="D139" s="4">
        <f t="shared" si="15"/>
        <v>0</v>
      </c>
      <c r="E139" s="4"/>
      <c r="F139" s="4"/>
      <c r="G139" s="4">
        <f>ROUND(SUM(C139:F139)/2,0)</f>
        <v>0</v>
      </c>
      <c r="H139" s="4"/>
      <c r="I139" s="4">
        <f t="shared" si="16"/>
        <v>0</v>
      </c>
      <c r="J139" s="4">
        <f t="shared" si="16"/>
        <v>0</v>
      </c>
      <c r="K139" s="4">
        <f t="shared" si="16"/>
        <v>0</v>
      </c>
      <c r="L139" s="4"/>
      <c r="M139" s="14">
        <v>0</v>
      </c>
      <c r="N139" s="14">
        <v>0</v>
      </c>
      <c r="O139" s="14">
        <v>0</v>
      </c>
      <c r="P139" s="4"/>
      <c r="Q139" s="14">
        <v>0</v>
      </c>
      <c r="R139" s="14">
        <v>0</v>
      </c>
      <c r="S139" s="14">
        <v>0</v>
      </c>
    </row>
    <row r="140" spans="1:19" ht="12.75">
      <c r="A140" s="5">
        <f t="shared" si="12"/>
        <v>126</v>
      </c>
      <c r="B140" s="38" t="s">
        <v>17</v>
      </c>
      <c r="C140" s="4">
        <f t="shared" si="17"/>
        <v>0</v>
      </c>
      <c r="D140" s="4">
        <f t="shared" si="15"/>
        <v>0</v>
      </c>
      <c r="E140" s="4"/>
      <c r="F140" s="4"/>
      <c r="G140" s="4">
        <f>ROUND(SUM(C140:F140)/2,0)</f>
        <v>0</v>
      </c>
      <c r="H140" s="4"/>
      <c r="I140" s="4">
        <f t="shared" si="16"/>
        <v>0</v>
      </c>
      <c r="J140" s="4">
        <f t="shared" si="16"/>
        <v>0</v>
      </c>
      <c r="K140" s="4">
        <f t="shared" si="16"/>
        <v>0</v>
      </c>
      <c r="L140" s="4"/>
      <c r="M140" s="14">
        <v>0</v>
      </c>
      <c r="N140" s="14">
        <v>0</v>
      </c>
      <c r="O140" s="14">
        <v>0</v>
      </c>
      <c r="P140" s="4"/>
      <c r="Q140" s="14">
        <v>0</v>
      </c>
      <c r="R140" s="14">
        <v>0</v>
      </c>
      <c r="S140" s="14">
        <v>0</v>
      </c>
    </row>
    <row r="141" spans="1:19" ht="12.75">
      <c r="A141" s="5">
        <f t="shared" si="12"/>
        <v>127</v>
      </c>
      <c r="B141" s="38" t="s">
        <v>19</v>
      </c>
      <c r="C141" s="4">
        <f t="shared" si="17"/>
        <v>3251440.93</v>
      </c>
      <c r="D141" s="4">
        <f t="shared" si="15"/>
        <v>3612712.16</v>
      </c>
      <c r="E141" s="4"/>
      <c r="F141" s="4"/>
      <c r="G141" s="4">
        <f>ROUND(SUM(C141:F141)/2,0)</f>
        <v>3432077</v>
      </c>
      <c r="H141" s="4"/>
      <c r="I141" s="4">
        <f t="shared" si="16"/>
        <v>0</v>
      </c>
      <c r="J141" s="4">
        <f t="shared" si="16"/>
        <v>451987.57</v>
      </c>
      <c r="K141" s="4">
        <f t="shared" si="16"/>
        <v>2980088.975</v>
      </c>
      <c r="L141" s="4"/>
      <c r="M141" s="14">
        <v>0</v>
      </c>
      <c r="N141" s="14">
        <v>428198.75</v>
      </c>
      <c r="O141" s="14">
        <v>2823242.18</v>
      </c>
      <c r="P141" s="4"/>
      <c r="Q141" s="14">
        <v>0</v>
      </c>
      <c r="R141" s="14">
        <v>475776.39</v>
      </c>
      <c r="S141" s="14">
        <v>3136935.77</v>
      </c>
    </row>
    <row r="142" spans="1:19" ht="12.75">
      <c r="A142" s="5">
        <f t="shared" si="12"/>
        <v>128</v>
      </c>
      <c r="B142" s="38" t="s">
        <v>18</v>
      </c>
      <c r="C142" s="4">
        <f t="shared" si="17"/>
        <v>2572021.21</v>
      </c>
      <c r="D142" s="4">
        <f t="shared" si="15"/>
        <v>2148715.4299999997</v>
      </c>
      <c r="E142" s="4"/>
      <c r="F142" s="4"/>
      <c r="G142" s="4">
        <f t="shared" si="18"/>
        <v>2360368</v>
      </c>
      <c r="H142" s="4"/>
      <c r="I142" s="4">
        <f t="shared" si="16"/>
        <v>0</v>
      </c>
      <c r="J142" s="4">
        <f t="shared" si="16"/>
        <v>218664.735</v>
      </c>
      <c r="K142" s="4">
        <f t="shared" si="16"/>
        <v>2141703.585</v>
      </c>
      <c r="L142" s="4"/>
      <c r="M142" s="14">
        <v>0</v>
      </c>
      <c r="N142" s="14">
        <v>221664.46</v>
      </c>
      <c r="O142" s="14">
        <v>2350356.75</v>
      </c>
      <c r="P142" s="4"/>
      <c r="Q142" s="14">
        <v>0</v>
      </c>
      <c r="R142" s="14">
        <v>215665.01</v>
      </c>
      <c r="S142" s="14">
        <v>1933050.42</v>
      </c>
    </row>
    <row r="143" spans="1:21" ht="12.75">
      <c r="A143" s="5">
        <f t="shared" si="12"/>
        <v>129</v>
      </c>
      <c r="B143" s="38" t="s">
        <v>16</v>
      </c>
      <c r="C143" s="9">
        <v>118416.54</v>
      </c>
      <c r="D143" s="9">
        <v>19346.94</v>
      </c>
      <c r="E143" s="4">
        <f aca="true" t="shared" si="19" ref="E143:F147">-C143</f>
        <v>-118416.54</v>
      </c>
      <c r="F143" s="4">
        <f t="shared" si="19"/>
        <v>-19346.94</v>
      </c>
      <c r="G143" s="4">
        <f t="shared" si="18"/>
        <v>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1"/>
      <c r="U143" s="1"/>
    </row>
    <row r="144" spans="1:21" ht="12.75">
      <c r="A144" s="5">
        <f aca="true" t="shared" si="20" ref="A144:A174">A143+1</f>
        <v>130</v>
      </c>
      <c r="B144" s="38" t="s">
        <v>15</v>
      </c>
      <c r="C144" s="9">
        <v>46087426.65</v>
      </c>
      <c r="D144" s="9">
        <v>49060989.31</v>
      </c>
      <c r="E144" s="4">
        <f t="shared" si="19"/>
        <v>-46087426.65</v>
      </c>
      <c r="F144" s="4">
        <f t="shared" si="19"/>
        <v>-49060989.31</v>
      </c>
      <c r="G144" s="4">
        <f t="shared" si="18"/>
        <v>0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1"/>
      <c r="U144" s="1"/>
    </row>
    <row r="145" spans="1:21" ht="12.75">
      <c r="A145" s="5">
        <f t="shared" si="20"/>
        <v>131</v>
      </c>
      <c r="B145" s="38" t="s">
        <v>14</v>
      </c>
      <c r="C145" s="9">
        <v>0</v>
      </c>
      <c r="D145" s="9">
        <v>0</v>
      </c>
      <c r="E145" s="4">
        <f t="shared" si="19"/>
        <v>0</v>
      </c>
      <c r="F145" s="4">
        <f t="shared" si="19"/>
        <v>0</v>
      </c>
      <c r="G145" s="4">
        <f t="shared" si="18"/>
        <v>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1"/>
      <c r="U145" s="1"/>
    </row>
    <row r="146" spans="1:21" ht="12.75">
      <c r="A146" s="5">
        <f t="shared" si="20"/>
        <v>132</v>
      </c>
      <c r="B146" s="69" t="s">
        <v>574</v>
      </c>
      <c r="C146" s="75">
        <v>0</v>
      </c>
      <c r="D146" s="75">
        <v>0</v>
      </c>
      <c r="E146" s="4">
        <f t="shared" si="19"/>
        <v>0</v>
      </c>
      <c r="F146" s="4">
        <f t="shared" si="19"/>
        <v>0</v>
      </c>
      <c r="G146" s="4">
        <f t="shared" si="18"/>
        <v>0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1"/>
      <c r="U146" s="1"/>
    </row>
    <row r="147" spans="1:21" ht="12.75">
      <c r="A147" s="5">
        <f t="shared" si="20"/>
        <v>133</v>
      </c>
      <c r="B147" s="69" t="s">
        <v>575</v>
      </c>
      <c r="C147" s="9">
        <v>2240496.96</v>
      </c>
      <c r="D147" s="9">
        <v>2974679.44</v>
      </c>
      <c r="E147" s="4">
        <f t="shared" si="19"/>
        <v>-2240496.96</v>
      </c>
      <c r="F147" s="4">
        <f t="shared" si="19"/>
        <v>-2974679.44</v>
      </c>
      <c r="G147" s="4">
        <f t="shared" si="18"/>
        <v>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1"/>
      <c r="U147" s="1"/>
    </row>
    <row r="148" spans="1:21" ht="12.75">
      <c r="A148" s="5">
        <f t="shared" si="20"/>
        <v>134</v>
      </c>
      <c r="B148" s="69" t="s">
        <v>576</v>
      </c>
      <c r="C148" s="9">
        <v>36971.200000000004</v>
      </c>
      <c r="D148" s="9">
        <v>41690.8</v>
      </c>
      <c r="E148" s="4">
        <f>-C148</f>
        <v>-36971.200000000004</v>
      </c>
      <c r="F148" s="4">
        <f>-D148</f>
        <v>-41690.8</v>
      </c>
      <c r="G148" s="4">
        <f t="shared" si="18"/>
        <v>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1"/>
      <c r="U148" s="1"/>
    </row>
    <row r="149" spans="1:21" ht="12.75">
      <c r="A149" s="5">
        <f t="shared" si="20"/>
        <v>135</v>
      </c>
      <c r="B149" s="3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1"/>
      <c r="U149" s="1"/>
    </row>
    <row r="150" spans="1:19" ht="13.5" thickBot="1">
      <c r="A150" s="5">
        <f t="shared" si="20"/>
        <v>136</v>
      </c>
      <c r="B150" s="38"/>
      <c r="C150" s="6">
        <f>SUM(C67:C149)</f>
        <v>461118235.48999995</v>
      </c>
      <c r="D150" s="6">
        <f>SUM(D67:D149)</f>
        <v>540588747.84</v>
      </c>
      <c r="E150" s="6">
        <f>SUM(E67:E149)</f>
        <v>-48483311.35</v>
      </c>
      <c r="F150" s="6">
        <f>SUM(F67:F149)</f>
        <v>-52096706.489999995</v>
      </c>
      <c r="G150" s="6">
        <f>SUM(G67:G149)</f>
        <v>450563483</v>
      </c>
      <c r="H150" s="4"/>
      <c r="I150" s="6">
        <f>SUM(I67:I149)</f>
        <v>0</v>
      </c>
      <c r="J150" s="6">
        <f>SUM(J67:J149)</f>
        <v>16750032.35</v>
      </c>
      <c r="K150" s="6">
        <f>SUM(K67:K149)</f>
        <v>433813450.3949999</v>
      </c>
      <c r="L150" s="4"/>
      <c r="M150" s="6">
        <f>SUM(M67:M149)</f>
        <v>0</v>
      </c>
      <c r="N150" s="6">
        <f>SUM(N67:N149)</f>
        <v>15736978.070000002</v>
      </c>
      <c r="O150" s="6">
        <f>SUM(O67:O149)</f>
        <v>396897946.07000005</v>
      </c>
      <c r="P150" s="4"/>
      <c r="Q150" s="6">
        <f>SUM(Q67:Q149)</f>
        <v>0</v>
      </c>
      <c r="R150" s="6">
        <f>SUM(R67:R149)</f>
        <v>17763086.63</v>
      </c>
      <c r="S150" s="6">
        <f>SUM(S67:S149)</f>
        <v>470728954.71999985</v>
      </c>
    </row>
    <row r="151" spans="1:19" ht="13.5" thickTop="1">
      <c r="A151" s="5">
        <f t="shared" si="20"/>
        <v>137</v>
      </c>
      <c r="B151" s="1"/>
      <c r="C151" s="3"/>
      <c r="D151" s="3"/>
      <c r="E151" s="3"/>
      <c r="F151" s="3"/>
      <c r="G151" s="3"/>
      <c r="H151" s="4"/>
      <c r="I151" s="3"/>
      <c r="J151" s="3"/>
      <c r="K151" s="3"/>
      <c r="L151" s="4"/>
      <c r="M151" s="3"/>
      <c r="N151" s="3"/>
      <c r="O151" s="3"/>
      <c r="P151" s="4"/>
      <c r="Q151" s="3"/>
      <c r="R151" s="3"/>
      <c r="S151" s="74"/>
    </row>
    <row r="152" spans="1:19" ht="12.75">
      <c r="A152" s="5">
        <f t="shared" si="20"/>
        <v>138</v>
      </c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1"/>
      <c r="N152" s="11"/>
      <c r="O152" s="11"/>
      <c r="P152" s="4"/>
      <c r="Q152" s="4"/>
      <c r="R152" s="4"/>
      <c r="S152" s="72"/>
    </row>
    <row r="153" spans="1:20" ht="12.75">
      <c r="A153" s="5">
        <f t="shared" si="20"/>
        <v>139</v>
      </c>
      <c r="B153" s="7" t="s">
        <v>577</v>
      </c>
      <c r="C153" s="4">
        <f>SUM(M153:O153)</f>
        <v>32910690</v>
      </c>
      <c r="D153" s="4">
        <f>SUM(Q153:S153)</f>
        <v>32787911</v>
      </c>
      <c r="E153" s="4"/>
      <c r="F153" s="4"/>
      <c r="G153" s="4">
        <f>ROUND(SUM(C153:F153)/2,0)</f>
        <v>32849301</v>
      </c>
      <c r="H153" s="76"/>
      <c r="I153" s="4">
        <f>(M153+Q153)/2</f>
        <v>0</v>
      </c>
      <c r="J153" s="4">
        <f>(N153+R153)/2</f>
        <v>8356807.5</v>
      </c>
      <c r="K153" s="4">
        <f>(O153+S153)/2</f>
        <v>24492493</v>
      </c>
      <c r="L153" s="76"/>
      <c r="M153" s="9">
        <v>0</v>
      </c>
      <c r="N153" s="9">
        <v>8787237</v>
      </c>
      <c r="O153" s="9">
        <v>24123453</v>
      </c>
      <c r="P153" s="76"/>
      <c r="Q153" s="9">
        <v>0</v>
      </c>
      <c r="R153" s="9">
        <v>7926378</v>
      </c>
      <c r="S153" s="9">
        <v>24861533</v>
      </c>
      <c r="T153" s="1"/>
    </row>
    <row r="154" spans="1:20" ht="12.75">
      <c r="A154" s="5">
        <f t="shared" si="20"/>
        <v>140</v>
      </c>
      <c r="B154" s="38" t="s">
        <v>9</v>
      </c>
      <c r="C154" s="9">
        <v>1473714</v>
      </c>
      <c r="D154" s="9">
        <v>1465500</v>
      </c>
      <c r="E154" s="4">
        <f>-C154</f>
        <v>-1473714</v>
      </c>
      <c r="F154" s="4">
        <f>-D154</f>
        <v>-1465500</v>
      </c>
      <c r="G154" s="4">
        <f>ROUND(SUM(C154:F154)/2,0)</f>
        <v>0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72"/>
      <c r="T154" s="1"/>
    </row>
    <row r="155" spans="1:19" ht="12.75">
      <c r="A155" s="5">
        <f t="shared" si="20"/>
        <v>141</v>
      </c>
      <c r="B155" s="3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72"/>
    </row>
    <row r="156" spans="1:19" ht="13.5" thickBot="1">
      <c r="A156" s="5">
        <f t="shared" si="20"/>
        <v>142</v>
      </c>
      <c r="B156" s="8" t="s">
        <v>8</v>
      </c>
      <c r="C156" s="6">
        <f>SUM(C150:C155)</f>
        <v>495502639.48999995</v>
      </c>
      <c r="D156" s="6">
        <f>SUM(D150:D155)</f>
        <v>574842158.84</v>
      </c>
      <c r="E156" s="6">
        <f>SUM(E150:E155)</f>
        <v>-49957025.35</v>
      </c>
      <c r="F156" s="6">
        <f>SUM(F150:F155)</f>
        <v>-53562206.489999995</v>
      </c>
      <c r="G156" s="6">
        <f>SUM(G150:G155)</f>
        <v>483412784</v>
      </c>
      <c r="H156" s="77" t="s">
        <v>101</v>
      </c>
      <c r="I156" s="6">
        <f>SUM(I150:I155)</f>
        <v>0</v>
      </c>
      <c r="J156" s="6">
        <f>SUM(J150:J155)</f>
        <v>25106839.85</v>
      </c>
      <c r="K156" s="6">
        <f>SUM(K150:K155)</f>
        <v>458305943.3949999</v>
      </c>
      <c r="L156" s="77" t="s">
        <v>101</v>
      </c>
      <c r="M156" s="6">
        <f>SUM(M150:M155)</f>
        <v>0</v>
      </c>
      <c r="N156" s="6">
        <f>SUM(N150:N155)</f>
        <v>24524215.07</v>
      </c>
      <c r="O156" s="6">
        <f>SUM(O150:O155)</f>
        <v>421021399.07000005</v>
      </c>
      <c r="P156" s="77" t="s">
        <v>101</v>
      </c>
      <c r="Q156" s="6">
        <f>SUM(Q150:Q155)</f>
        <v>0</v>
      </c>
      <c r="R156" s="6">
        <f>SUM(R150:R155)</f>
        <v>25689464.63</v>
      </c>
      <c r="S156" s="6">
        <f>SUM(S150:S155)</f>
        <v>495590487.71999985</v>
      </c>
    </row>
    <row r="157" spans="1:19" ht="13.5" thickTop="1">
      <c r="A157" s="5">
        <f t="shared" si="20"/>
        <v>143</v>
      </c>
      <c r="B157" s="1"/>
      <c r="C157" s="3"/>
      <c r="D157" s="3"/>
      <c r="E157" s="3"/>
      <c r="F157" s="3"/>
      <c r="G157" s="3"/>
      <c r="H157" s="4"/>
      <c r="I157" s="3"/>
      <c r="J157" s="3"/>
      <c r="K157" s="3"/>
      <c r="L157" s="4"/>
      <c r="M157" s="3"/>
      <c r="N157" s="3"/>
      <c r="O157" s="3"/>
      <c r="P157" s="4"/>
      <c r="Q157" s="74"/>
      <c r="R157" s="3"/>
      <c r="S157" s="3"/>
    </row>
    <row r="158" spans="1:19" ht="12.75">
      <c r="A158" s="5">
        <f t="shared" si="20"/>
        <v>144</v>
      </c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2"/>
      <c r="R158" s="4"/>
      <c r="S158" s="4"/>
    </row>
    <row r="159" spans="1:19" ht="12.75">
      <c r="A159" s="5">
        <f t="shared" si="20"/>
        <v>145</v>
      </c>
      <c r="B159" s="8" t="s">
        <v>7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2"/>
      <c r="R159" s="4"/>
      <c r="S159" s="4"/>
    </row>
    <row r="160" spans="1:19" ht="12.75">
      <c r="A160" s="5">
        <f t="shared" si="20"/>
        <v>146</v>
      </c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2"/>
      <c r="R160" s="4"/>
      <c r="S160" s="4"/>
    </row>
    <row r="161" spans="1:19" ht="12.75">
      <c r="A161" s="5">
        <f t="shared" si="20"/>
        <v>147</v>
      </c>
      <c r="B161" s="8" t="s">
        <v>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2"/>
      <c r="R161" s="4"/>
      <c r="S161" s="4"/>
    </row>
    <row r="162" spans="1:19" ht="12.75">
      <c r="A162" s="5">
        <f t="shared" si="20"/>
        <v>148</v>
      </c>
      <c r="B162" s="1"/>
      <c r="C162" s="4"/>
      <c r="D162" s="10"/>
      <c r="E162" s="10"/>
      <c r="F162" s="10"/>
      <c r="G162" s="10"/>
      <c r="H162" s="4"/>
      <c r="I162" s="10"/>
      <c r="J162" s="10"/>
      <c r="K162" s="10"/>
      <c r="L162" s="4"/>
      <c r="M162" s="4"/>
      <c r="N162" s="4"/>
      <c r="O162" s="4"/>
      <c r="P162" s="4"/>
      <c r="Q162" s="72"/>
      <c r="R162" s="4"/>
      <c r="S162" s="4"/>
    </row>
    <row r="163" spans="1:19" ht="12.75">
      <c r="A163" s="5">
        <f t="shared" si="20"/>
        <v>149</v>
      </c>
      <c r="B163" s="8" t="s">
        <v>5</v>
      </c>
      <c r="C163" s="4"/>
      <c r="D163" s="10"/>
      <c r="E163" s="10"/>
      <c r="F163" s="10"/>
      <c r="G163" s="10"/>
      <c r="H163" s="4"/>
      <c r="I163" s="10"/>
      <c r="J163" s="10"/>
      <c r="K163" s="10"/>
      <c r="L163" s="4"/>
      <c r="M163" s="4"/>
      <c r="N163" s="4"/>
      <c r="O163" s="4"/>
      <c r="P163" s="4"/>
      <c r="Q163" s="72"/>
      <c r="R163" s="4"/>
      <c r="S163" s="4"/>
    </row>
    <row r="164" spans="1:19" ht="12.75">
      <c r="A164" s="5">
        <f t="shared" si="20"/>
        <v>150</v>
      </c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>
      <c r="A165" s="5">
        <f t="shared" si="20"/>
        <v>151</v>
      </c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>
      <c r="A166" s="5">
        <f t="shared" si="20"/>
        <v>152</v>
      </c>
      <c r="B166" s="7" t="s">
        <v>4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>
      <c r="A167" s="5">
        <f t="shared" si="20"/>
        <v>153</v>
      </c>
      <c r="B167" s="7" t="s">
        <v>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>
      <c r="A168" s="5">
        <f t="shared" si="20"/>
        <v>154</v>
      </c>
      <c r="B168" s="3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>
      <c r="A169" s="5">
        <f t="shared" si="20"/>
        <v>155</v>
      </c>
      <c r="B169" s="3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>
      <c r="A170" s="5">
        <f t="shared" si="20"/>
        <v>156</v>
      </c>
      <c r="B170" s="3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>
      <c r="A171" s="5">
        <f t="shared" si="20"/>
        <v>157</v>
      </c>
      <c r="B171" s="38" t="s">
        <v>578</v>
      </c>
      <c r="C171" s="4">
        <f>SUM(M171:O171)</f>
        <v>28408</v>
      </c>
      <c r="D171" s="4">
        <f>SUM(Q171:S171)</f>
        <v>67402</v>
      </c>
      <c r="E171" s="4"/>
      <c r="F171" s="4"/>
      <c r="G171" s="4">
        <f>ROUND(SUM(C171:F171)/2,0)</f>
        <v>47905</v>
      </c>
      <c r="H171" s="4"/>
      <c r="I171" s="4">
        <f>(M171+Q171)/2</f>
        <v>0</v>
      </c>
      <c r="J171" s="4">
        <f>(N171+R171)/2</f>
        <v>21578</v>
      </c>
      <c r="K171" s="4">
        <f>(O171+S171)/2</f>
        <v>26327</v>
      </c>
      <c r="L171" s="4"/>
      <c r="M171" s="4">
        <v>0</v>
      </c>
      <c r="N171" s="4">
        <v>11952</v>
      </c>
      <c r="O171" s="4">
        <v>16456</v>
      </c>
      <c r="P171" s="4"/>
      <c r="Q171" s="4">
        <v>0</v>
      </c>
      <c r="R171" s="4">
        <v>31204</v>
      </c>
      <c r="S171" s="4">
        <v>36198</v>
      </c>
    </row>
    <row r="172" spans="1:19" ht="12.75">
      <c r="A172" s="5">
        <f t="shared" si="20"/>
        <v>158</v>
      </c>
      <c r="B172" s="3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>
      <c r="A173" s="5">
        <f t="shared" si="20"/>
        <v>159</v>
      </c>
      <c r="B173" s="69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>
      <c r="A174" s="5">
        <f t="shared" si="20"/>
        <v>160</v>
      </c>
      <c r="B174" s="7" t="s">
        <v>0</v>
      </c>
      <c r="C174" s="6">
        <f>SUM(C168:C173)</f>
        <v>28408</v>
      </c>
      <c r="D174" s="6">
        <f>SUM(D168:D173)</f>
        <v>67402</v>
      </c>
      <c r="E174" s="6">
        <f>SUM(E168:E173)</f>
        <v>0</v>
      </c>
      <c r="F174" s="6">
        <f>SUM(F168:F173)</f>
        <v>0</v>
      </c>
      <c r="G174" s="6">
        <f>SUM(G168:G173)</f>
        <v>47905</v>
      </c>
      <c r="H174" s="4"/>
      <c r="I174" s="6">
        <f>SUM(I168:I173)</f>
        <v>0</v>
      </c>
      <c r="J174" s="6">
        <f>SUM(J168:J173)</f>
        <v>21578</v>
      </c>
      <c r="K174" s="6">
        <f>SUM(K168:K173)</f>
        <v>26327</v>
      </c>
      <c r="L174" s="4"/>
      <c r="M174" s="6">
        <f>SUM(M168:M173)</f>
        <v>0</v>
      </c>
      <c r="N174" s="6">
        <f>SUM(N168:N173)</f>
        <v>11952</v>
      </c>
      <c r="O174" s="6">
        <f>SUM(O168:O173)</f>
        <v>16456</v>
      </c>
      <c r="P174" s="4"/>
      <c r="Q174" s="6">
        <f>SUM(Q168:Q173)</f>
        <v>0</v>
      </c>
      <c r="R174" s="6">
        <f>SUM(R168:R173)</f>
        <v>31204</v>
      </c>
      <c r="S174" s="6">
        <f>SUM(S168:S173)</f>
        <v>36198</v>
      </c>
    </row>
    <row r="175" spans="8:12" ht="12.75">
      <c r="H175" s="1"/>
      <c r="L175" s="1"/>
    </row>
    <row r="176" spans="8:12" ht="12.75">
      <c r="H176" s="1"/>
      <c r="L176" s="1"/>
    </row>
  </sheetData>
  <sheetProtection/>
  <printOptions/>
  <pageMargins left="0.75" right="0.25" top="0.5" bottom="0.5" header="0.25" footer="0.25"/>
  <pageSetup horizontalDpi="600" verticalDpi="600" orientation="portrait" scale="65" r:id="rId3"/>
  <headerFooter alignWithMargins="0">
    <oddHeader>&amp;RSTATEMENT AF
Page &amp;P of &amp;N</oddHeader>
  </headerFooter>
  <colBreaks count="1" manualBreakCount="1">
    <brk id="11" min="14" max="1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s632389</dc:creator>
  <cp:keywords/>
  <dc:description/>
  <cp:lastModifiedBy>s632389</cp:lastModifiedBy>
  <dcterms:created xsi:type="dcterms:W3CDTF">2016-05-24T19:45:38Z</dcterms:created>
  <dcterms:modified xsi:type="dcterms:W3CDTF">2016-05-25T14:10:46Z</dcterms:modified>
  <cp:category/>
  <cp:version/>
  <cp:contentType/>
  <cp:contentStatus/>
</cp:coreProperties>
</file>